
<file path=[Content_Types].xml><?xml version="1.0" encoding="utf-8"?>
<Types xmlns="http://schemas.openxmlformats.org/package/2006/content-type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mc:AlternateContent xmlns:mc="http://schemas.openxmlformats.org/markup-compatibility/2006">
    <mc:Choice Requires="x15">
      <x15ac:absPath xmlns:x15ac="http://schemas.microsoft.com/office/spreadsheetml/2010/11/ac" url="C:\Users\PC124\Desktop\Подготовка Договор сайт\Договор сайт\материалы для размещения\2.3.8.1. Информация о предложении регулируемой организации об установлении цен (тарифов) в сфере теплоснабжения\"/>
    </mc:Choice>
  </mc:AlternateContent>
  <bookViews>
    <workbookView xWindow="0" yWindow="0" windowWidth="28800" windowHeight="12435" tabRatio="852" activeTab="1"/>
  </bookViews>
  <sheets>
    <sheet name="Инструкция" sheetId="1" r:id="rId1"/>
    <sheet name="Титульный" sheetId="2" r:id="rId2"/>
    <sheet name="Список территорий" sheetId="3" r:id="rId3"/>
    <sheet name="Дифференциация" sheetId="4" state="hidden" r:id="rId4"/>
    <sheet name="Перечень тарифов" sheetId="5" r:id="rId5"/>
    <sheet name="Дифференциация тариф показатель" sheetId="6" state="hidden" r:id="rId6"/>
    <sheet name="Общая информация об организации" sheetId="7" state="hidden" r:id="rId7"/>
    <sheet name="Общая информация по ВД" sheetId="8" state="hidden" r:id="rId8"/>
    <sheet name="Виды объектов" sheetId="9" state="hidden" r:id="rId9"/>
    <sheet name="Сведения по территориям" sheetId="10" state="hidden" r:id="rId10"/>
    <sheet name="ТС. Т-ТЭ | &gt;=25МВт" sheetId="11" state="hidden" r:id="rId11"/>
    <sheet name="ТС. Т-ТЭ | ТСО" sheetId="12" r:id="rId12"/>
    <sheet name="ТС. Т-ТЭ | предел" sheetId="13" state="hidden" r:id="rId13"/>
    <sheet name="ТС. Т-ТЭ | индикат" sheetId="14" state="hidden" r:id="rId14"/>
    <sheet name="ТС. Резерв мощности" sheetId="15" state="hidden" r:id="rId15"/>
    <sheet name="ТС. Т-ТН" sheetId="16" state="hidden" r:id="rId16"/>
    <sheet name="ТС. Т-передача ТЭ" sheetId="17" state="hidden" r:id="rId17"/>
    <sheet name="ТС. Т-передача ТН" sheetId="18" state="hidden" r:id="rId18"/>
    <sheet name="ТС. Т-гор.вода" sheetId="19" state="hidden" r:id="rId19"/>
    <sheet name="ТС. Т-подкл" sheetId="20" state="hidden" r:id="rId20"/>
    <sheet name="ХВС. Т-пит" sheetId="21" state="hidden" r:id="rId21"/>
    <sheet name="ХВС. Т-тех" sheetId="22" state="hidden" r:id="rId22"/>
    <sheet name="ХВС. Т-транс" sheetId="23" state="hidden" r:id="rId23"/>
    <sheet name="ХВС. Т-подвоз" sheetId="24" state="hidden" r:id="rId24"/>
    <sheet name="ТС. Т-подкл(инд)" sheetId="25" state="hidden" r:id="rId25"/>
    <sheet name="ХВС. Т-подкл" sheetId="26" state="hidden" r:id="rId26"/>
    <sheet name="ВО. Т-во" sheetId="27" state="hidden" r:id="rId27"/>
    <sheet name="ВО. Т-транс" sheetId="28" state="hidden" r:id="rId28"/>
    <sheet name="ВО. Т-подкл" sheetId="29" state="hidden" r:id="rId29"/>
    <sheet name="ГВС. Т-гор.вода" sheetId="30" state="hidden" r:id="rId30"/>
    <sheet name="ГВС. Т-транс" sheetId="31" state="hidden" r:id="rId31"/>
    <sheet name="ГВС. Т-подкл" sheetId="32" state="hidden" r:id="rId32"/>
    <sheet name="Показатели ФХД" sheetId="33" state="hidden" r:id="rId33"/>
    <sheet name="Показатели ФХД &gt;20%" sheetId="34" state="hidden" r:id="rId34"/>
    <sheet name="Показатели ОТЭП" sheetId="35" state="hidden" r:id="rId35"/>
    <sheet name="Стандарты качества" sheetId="36" state="hidden" r:id="rId36"/>
    <sheet name="ТКО. Показатели ФХД" sheetId="37" state="hidden" r:id="rId37"/>
    <sheet name="ТКО. Транс. Показатели ФХД" sheetId="38" state="hidden" r:id="rId38"/>
    <sheet name="Показатели КНЭ" sheetId="39" state="hidden" r:id="rId39"/>
    <sheet name="Ограничения" sheetId="40" state="hidden" r:id="rId40"/>
    <sheet name="ИП" sheetId="41" state="hidden" r:id="rId41"/>
    <sheet name="ИП. Детализация" sheetId="42" state="hidden" r:id="rId42"/>
    <sheet name="ИП. Финансовый план" sheetId="43" state="hidden" r:id="rId43"/>
    <sheet name="ИП. КНЭ" sheetId="44" state="hidden" r:id="rId44"/>
    <sheet name="ТП" sheetId="45" state="hidden" r:id="rId45"/>
    <sheet name="Договоры" sheetId="46" state="hidden" r:id="rId46"/>
    <sheet name="Порядок ТП" sheetId="47" state="hidden" r:id="rId47"/>
    <sheet name="Предложение" sheetId="48" r:id="rId48"/>
    <sheet name="Сведения о закупках" sheetId="49" r:id="rId49"/>
    <sheet name="Потребительские характеристики" sheetId="50" state="hidden" r:id="rId50"/>
    <sheet name="TEHSHEET" sheetId="51" state="hidden" r:id="rId51"/>
    <sheet name="Орган регулирования" sheetId="52" state="hidden" r:id="rId52"/>
    <sheet name="Перечень организаций" sheetId="53" state="hidden" r:id="rId53"/>
    <sheet name="Дела об установлении тарифов" sheetId="54" state="hidden" r:id="rId54"/>
    <sheet name="Дела об утверждении ПУЦ" sheetId="55" state="hidden" r:id="rId55"/>
    <sheet name="Привлечение к ответственности" sheetId="56" state="hidden" r:id="rId56"/>
    <sheet name="ЭД" sheetId="57" state="hidden" r:id="rId57"/>
    <sheet name="Сведения об изменении" sheetId="58" r:id="rId58"/>
    <sheet name="Комментарии" sheetId="59" r:id="rId59"/>
    <sheet name="Проверка" sheetId="60" state="hidden" r:id="rId60"/>
    <sheet name="et_union_hor" sheetId="61" state="hidden" r:id="rId61"/>
    <sheet name="DATA_FORMS" sheetId="62" state="hidden" r:id="rId62"/>
    <sheet name="DATA_NPA" sheetId="63" state="hidden" r:id="rId63"/>
    <sheet name="Т-ТЭ | потр" sheetId="64" state="hidden" r:id="rId64"/>
    <sheet name="modMainProcedures" sheetId="65" state="hidden" r:id="rId65"/>
    <sheet name="modB_FHD" sheetId="66" state="hidden" r:id="rId66"/>
    <sheet name="modB_FHD20" sheetId="67" state="hidden" r:id="rId67"/>
    <sheet name="modB_KNE" sheetId="68" state="hidden" r:id="rId68"/>
    <sheet name="modIP_MAIN" sheetId="69" state="hidden" r:id="rId69"/>
    <sheet name="modIP_QRE" sheetId="70" state="hidden" r:id="rId70"/>
    <sheet name="modIP_DETAILED" sheetId="71" state="hidden" r:id="rId71"/>
    <sheet name="et_union_vert" sheetId="72" state="hidden" r:id="rId72"/>
    <sheet name="Легенда" sheetId="73" state="hidden" r:id="rId73"/>
    <sheet name="modfrmListIP" sheetId="74" state="hidden" r:id="rId74"/>
    <sheet name="modfrmActivity" sheetId="75" state="hidden" r:id="rId75"/>
    <sheet name="REESTR_ORG" sheetId="76" state="hidden" r:id="rId76"/>
    <sheet name="REESTR_MO" sheetId="77" state="hidden" r:id="rId77"/>
    <sheet name="REESTR_IP" sheetId="78" state="hidden" r:id="rId78"/>
    <sheet name="REESTR_OBJ_INFR" sheetId="79" state="hidden" r:id="rId79"/>
    <sheet name="REESTR_DS" sheetId="80" state="hidden" r:id="rId80"/>
    <sheet name="REESTR_VT" sheetId="81" state="hidden" r:id="rId81"/>
    <sheet name="REESTR_VED" sheetId="82" state="hidden" r:id="rId82"/>
    <sheet name="REESTR_MO_FILTER" sheetId="83" state="hidden" r:id="rId83"/>
    <sheet name="REESTR_LINK" sheetId="84" state="hidden" r:id="rId84"/>
    <sheet name="modSheetMain" sheetId="85" state="hidden" r:id="rId85"/>
    <sheet name="modfrmReportMode" sheetId="86" state="hidden" r:id="rId86"/>
    <sheet name="modfrmReestrObj" sheetId="87" state="hidden" r:id="rId87"/>
    <sheet name="AllSheetsInThisWorkbook" sheetId="88" state="hidden" r:id="rId88"/>
    <sheet name="modInfo" sheetId="89" state="hidden" r:id="rId89"/>
  </sheets>
  <definedNames>
    <definedName name="_xlnm._FilterDatabase" localSheetId="59">Проверка!$B$4:$E$5</definedName>
    <definedName name="anscount">1</definedName>
    <definedName name="B_FHD_CHECK_INDEX_1">'Показатели ФХД'!$L$66</definedName>
    <definedName name="B_FHD_CHECK_INDEX_2">'Показатели ФХД'!$L$68</definedName>
    <definedName name="B_FHD_COSTS_INDEX_1">'Показатели ФХД'!$H$65:$J$65</definedName>
    <definedName name="B_FHD_COSTS_INDEX_2">'Показатели ФХД'!$H$67:$J$67</definedName>
    <definedName name="B_FHD_DATA_TOP80_ACTIVITY">'Показатели ФХД'!$H$81:$J$81</definedName>
    <definedName name="B_FHD_diff_1">'Показатели ФХД'!$I$25:$I$27</definedName>
    <definedName name="B_FHD_FLAG_DIFFERENTIATION">'Показатели ФХД'!$H$24:$J$24</definedName>
    <definedName name="B_FHD_FLAG_INDEX_1">'Показатели ФХД'!$H$66:$J$66</definedName>
    <definedName name="B_FHD_FLAG_INDEX_2">'Показатели ФХД'!$H$68:$J$68</definedName>
    <definedName name="B_FHD_TKO_DATA_TOP80_ACTIVITY">'ТКО. Показатели ФХД'!$H$43:$J$43</definedName>
    <definedName name="B_FHD_TKO_diff_1">'ТКО. Показатели ФХД'!$I$10:$I$12</definedName>
    <definedName name="B_FHD_TKO_FLAG_DIFFERENTIATION">'ТКО. Показатели ФХД'!$H$9:$J$9</definedName>
    <definedName name="B_FHD_TKO_TRANS_DATA_TOP80_ACTIVITY">'ТКО. Транс. Показатели ФХД'!$H$35:$J$35</definedName>
    <definedName name="B_FHD_TKO_TRANS_diff_1">'ТКО. Транс. Показатели ФХД'!$I$10:$I$12</definedName>
    <definedName name="B_FHD_TKO_TRANS_FLAG_DIFFERENTIATION">'ТКО. Транс. Показатели ФХД'!$H$9:$J$9</definedName>
    <definedName name="B_FHD20_ADD_HL_2_COLUMN_MARKER">'Показатели ФХД &gt;20%'!$G$8</definedName>
    <definedName name="B_FHD20_ADD_HL_3_COLUMN_MARKER">'Показатели ФХД &gt;20%'!$J$8</definedName>
    <definedName name="B_FHD20_ADD_HL_4_COLUMN_MARKER">'Показатели ФХД &gt;20%'!$N$8</definedName>
    <definedName name="B_FHD20_ALL_DATA">'Показатели ФХД &gt;20%'!$D$13:$S$23</definedName>
    <definedName name="B_FHD20_COSTS_OPS_diff_1">'Показатели ФХД &gt;20%'!$Q$17</definedName>
    <definedName name="B_FHD20_COSTS_PH_diff_1">'Показатели ФХД &gt;20%'!$Q$20</definedName>
    <definedName name="B_FHD20_DEL_HL_2_COLUMN_MARKER">'Показатели ФХД &gt;20%'!$E$8</definedName>
    <definedName name="B_FHD20_DEL_HL_3_COLUMN_MARKER">'Показатели ФХД &gt;20%'!$H$8</definedName>
    <definedName name="B_FHD20_DEL_HL_4_COLUMN_MARKER">'Показатели ФХД &gt;20%'!$L$8</definedName>
    <definedName name="B_FHD20_diff_1">'Показатели ФХД &gt;20%'!$H$14:$R$16</definedName>
    <definedName name="B_FHD20_FLAG_FHD">'Показатели ФХД &gt;20%'!$V$11:$V$23</definedName>
    <definedName name="B_FHD20_NUMBER_COLUMN_MARKER">'Показатели ФХД &gt;20%'!$D$8</definedName>
    <definedName name="B_FHD20_PART_COLUMN_MARKER">'Показатели ФХД &gt;20%'!$R$8</definedName>
    <definedName name="B_KNE_diff_1">'Показатели КНЭ'!$I$7:$J$9</definedName>
    <definedName name="B_OTEP_diff_1">'Показатели ОТЭП'!$L$10:$L$12</definedName>
    <definedName name="B_OTEP_FLAG_DIFFERENTIATION">'Показатели ОТЭП'!$L$9:$O$9</definedName>
    <definedName name="B_OTEP_HEAT_DATA_TOP80_ACTIVITY">'Показатели ОТЭП'!$L$15:$O$15</definedName>
    <definedName name="BLOCK_BALANCE_INDICATORS">Титульный!$50:$60</definedName>
    <definedName name="BLOCK_BALANCE_TKO_FLAG_TRANS">Титульный!$61:$62</definedName>
    <definedName name="BLOCK_CONNECTION_STATE">Титульный!$48:$49</definedName>
    <definedName name="BLOCK_DIFF_CS">Титульный!$40:$41</definedName>
    <definedName name="BLOCK_DIFFERENTIATION_NOT_TKO">Дифференциация!$J:$M</definedName>
    <definedName name="BLOCK_FIRST_TARIFF">Титульный!$20:$24</definedName>
    <definedName name="BLOCK_FIRST_TARIFF_OREG_PUBL">Титульный!$23:$24</definedName>
    <definedName name="BLOCK_IP_DETAILED_FACT_IST_FIN">'ИП. Детализация'!$AD:$AE</definedName>
    <definedName name="BLOCK_IP_DETAILED_FACT_PERIOD_EVENT">'ИП. Детализация'!$AI:$AK</definedName>
    <definedName name="BLOCK_MAIN_INFO_HEAT">'Общая информация об организации'!$19:$24</definedName>
    <definedName name="BLOCK_MAIN_INFO_NOT_TKO">'Общая информация об организации'!$46:$49</definedName>
    <definedName name="BLOCK_MAIN_INFO_OBJECT_COLDVSNA">'Общая информация по ВД'!$X:$Z</definedName>
    <definedName name="BLOCK_MAIN_INFO_OBJECT_COMM_COLDVSNA">'Общая информация по ВД'!$AG:$AG</definedName>
    <definedName name="BLOCK_MAIN_INFO_OBJECT_COMM_HEAT">'Общая информация по ВД'!$AE:$AE</definedName>
    <definedName name="BLOCK_MAIN_INFO_OBJECT_COMM_HOTVSNA">'Общая информация по ВД'!$AH:$AH</definedName>
    <definedName name="BLOCK_MAIN_INFO_OBJECT_COMM_VOTV">'Общая информация по ВД'!$AF:$AF</definedName>
    <definedName name="BLOCK_MAIN_INFO_OBJECT_HEAT">'Общая информация по ВД'!$H:$R</definedName>
    <definedName name="BLOCK_MAIN_INFO_OBJECT_HOTVSNA">'Общая информация по ВД'!$AB:$AC</definedName>
    <definedName name="BLOCK_MAIN_INFO_OBJECT_VOTV">'Общая информация по ВД'!$T:$V</definedName>
    <definedName name="BLOCK_NOT_ROIV_INDICATORS_1">Титульный!$37:$37</definedName>
    <definedName name="BLOCK_NOT_ROIV_INDICATORS_2">Титульный!$38:$39</definedName>
    <definedName name="BLOCK_NOT_ROIV_INDICATORS_3">Титульный!$63:$65</definedName>
    <definedName name="BLOCK_NOTE_P_TARIFF_A">'ТС. Т-ТЭ | &gt;=25МВт'!$58:$60</definedName>
    <definedName name="BLOCK_NOTE_P_TARIFF_A_COLDVSNA">'ХВС. Т-пит'!$54:$55</definedName>
    <definedName name="BLOCK_NOTE_P_TARIFF_A_HOTVSNA">'ГВС. Т-гор.вода'!$55:$56</definedName>
    <definedName name="BLOCK_NOTE_P_TARIFF_A_VOTV">'ВО. Т-во'!$54:$55</definedName>
    <definedName name="BLOCK_NOTE_P_TARIFF_B">'ТС. Т-ТЭ | ТСО'!$164:$166</definedName>
    <definedName name="BLOCK_NOTE_P_TARIFF_B_COLDVSNA">'ХВС. Т-тех'!$54:$55</definedName>
    <definedName name="BLOCK_NOTE_P_TARIFF_B_HOTVSNA">'ГВС. Т-транс'!$55:$56</definedName>
    <definedName name="BLOCK_NOTE_P_TARIFF_B_VOTV">'ВО. Т-транс'!$54:$55</definedName>
    <definedName name="BLOCK_NOTE_P_TARIFF_C">'ТС. Т-ТН'!$58:$61</definedName>
    <definedName name="BLOCK_NOTE_P_TARIFF_C_COLDVSNA">'ХВС. Т-транс'!$54:$55</definedName>
    <definedName name="BLOCK_NOTE_P_TARIFF_C_HOTVSNA">'ГВС. Т-подкл'!$64:$65</definedName>
    <definedName name="BLOCK_NOTE_P_TARIFF_C_VOTV">'ВО. Т-подкл'!$64:$65</definedName>
    <definedName name="BLOCK_NOTE_P_TARIFF_D">'ТС. Т-гор.вода'!$66:$68</definedName>
    <definedName name="BLOCK_NOTE_P_TARIFF_D_COLDVSNA">'ХВС. Т-подвоз'!$54:$55</definedName>
    <definedName name="BLOCK_NOTE_P_TARIFF_E_COLDVSNA">'ХВС. Т-подкл'!$64:$65</definedName>
    <definedName name="BLOCK_NOTE_P_TARIFF_E1">'ТС. Т-передача ТЭ'!$58:$61</definedName>
    <definedName name="BLOCK_NOTE_P_TARIFF_E2">'ТС. Т-передача ТН'!$58:$61</definedName>
    <definedName name="BLOCK_NOTE_P_TARIFF_F">'ТС. Резерв мощности'!$58:$60</definedName>
    <definedName name="BLOCK_NOTE_P_TARIFF_G">'ТС. Т-подкл'!$63:$65</definedName>
    <definedName name="BLOCK_NOTE_P_TARIFF_H">'ТС. Т-подкл(инд)'!$60:$62</definedName>
    <definedName name="BLOCK_NOTE_P_TARIFF_I">'ТС. Т-ТЭ | предел'!$58:$60</definedName>
    <definedName name="BLOCK_NOTE_P_TARIFF_I_1">'ТС. Т-ТЭ | индикат'!$58:$60</definedName>
    <definedName name="BLOCK_NOTE_R_TARIFF_A">'ТС. Т-ТЭ | &gt;=25МВт'!$61:$64</definedName>
    <definedName name="BLOCK_NOTE_R_TARIFF_A_COLDVSNA">'ХВС. Т-пит'!$56:$57</definedName>
    <definedName name="BLOCK_NOTE_R_TARIFF_A_HOTVSNA">'ГВС. Т-гор.вода'!$57:$58</definedName>
    <definedName name="BLOCK_NOTE_R_TARIFF_A_VOTV">'ВО. Т-во'!$56:$57</definedName>
    <definedName name="BLOCK_NOTE_R_TARIFF_B">'ТС. Т-ТЭ | ТСО'!$167:$170</definedName>
    <definedName name="BLOCK_NOTE_R_TARIFF_B_COLDVSNA">'ХВС. Т-тех'!$56:$57</definedName>
    <definedName name="BLOCK_NOTE_R_TARIFF_B_HOTVSNA">'ГВС. Т-транс'!$57:$58</definedName>
    <definedName name="BLOCK_NOTE_R_TARIFF_B_VOTV">'ВО. Т-транс'!$56:$57</definedName>
    <definedName name="BLOCK_NOTE_R_TARIFF_C">'ТС. Т-ТН'!$62:$65</definedName>
    <definedName name="BLOCK_NOTE_R_TARIFF_C_COLDVSNA">'ХВС. Т-транс'!$56:$57</definedName>
    <definedName name="BLOCK_NOTE_R_TARIFF_C_HOTVSNA">'ГВС. Т-подкл'!$66:$67</definedName>
    <definedName name="BLOCK_NOTE_R_TARIFF_C_VOTV">'ВО. Т-подкл'!$66:$67</definedName>
    <definedName name="BLOCK_NOTE_R_TARIFF_D">'ТС. Т-гор.вода'!$69:$71</definedName>
    <definedName name="BLOCK_NOTE_R_TARIFF_D_COLDVSNA">'ХВС. Т-подвоз'!$56:$57</definedName>
    <definedName name="BLOCK_NOTE_R_TARIFF_E_COLDVSNA">'ХВС. Т-подкл'!$66:$67</definedName>
    <definedName name="BLOCK_NOTE_R_TARIFF_E1">'ТС. Т-передача ТЭ'!$62:$65</definedName>
    <definedName name="BLOCK_NOTE_R_TARIFF_E2">'ТС. Т-передача ТН'!$62:$65</definedName>
    <definedName name="BLOCK_NOTE_R_TARIFF_F">'ТС. Резерв мощности'!$61:$64</definedName>
    <definedName name="BLOCK_NOTE_R_TARIFF_G">'ТС. Т-подкл'!$66:$68</definedName>
    <definedName name="BLOCK_NOTE_R_TARIFF_H">'ТС. Т-подкл(инд)'!$63:$65</definedName>
    <definedName name="BLOCK_NOTE_R_TARIFF_I">'ТС. Т-ТЭ | предел'!$61:$64</definedName>
    <definedName name="BLOCK_NOTE_R_TARIFF_I_1">'ТС. Т-ТЭ | индикат'!$61:$64</definedName>
    <definedName name="BLOCK_PERIOD_DATA">Титульный!$13:$13</definedName>
    <definedName name="BLOCK_PERIOD_QUARTER">Титульный!$15:$15</definedName>
    <definedName name="BLOCK_PERIOD_TWO_DATA">Титульный!$11:$12</definedName>
    <definedName name="BLOCK_PERIOD_YEAR">Титульный!$14:$14</definedName>
    <definedName name="BLOCK_POK_FHD_COLDVSNA_P1">'Показатели ФХД'!$82:$90</definedName>
    <definedName name="BLOCK_POK_FHD_COLDVSNA_P2">'Показатели ФХД'!$115:$119</definedName>
    <definedName name="BLOCK_POK_FHD_HEAT_ONLY_REG_ORG_P1">'Показатели ФХД'!$56:$57</definedName>
    <definedName name="BLOCK_POK_FHD_HEAT_ONLY_REG_ORG_P2">'Показатели ФХД'!$80:$131</definedName>
    <definedName name="BLOCK_POK_FHD_HEAT_P1">'Показатели ФХД'!$33:$40</definedName>
    <definedName name="BLOCK_POK_FHD_HEAT_P2">'Показатели ФХД'!$72:$72</definedName>
    <definedName name="BLOCK_POK_FHD_HEAT_P3">'Показатели ФХД'!$99:$111</definedName>
    <definedName name="BLOCK_POK_FHD_HEAT_P4">'Показатели ФХД'!$113:$113</definedName>
    <definedName name="BLOCK_POK_FHD_HEAT_P5">'Показатели ФХД'!$120:$130</definedName>
    <definedName name="BLOCK_POK_FHD_HEAT_P6">'Показатели ФХД'!$47:$47</definedName>
    <definedName name="BLOCK_POK_FHD_HOTVSNA_P1">'Показатели ФХД'!$41:$43</definedName>
    <definedName name="BLOCK_POK_FHD_HOTVSNA_P2">'Показатели ФХД'!$91:$95</definedName>
    <definedName name="BLOCK_POK_FHD_NOT_HEAT_P1">'Показатели ФХД'!$67:$68</definedName>
    <definedName name="BLOCK_POK_FHD_NOT_HEAT_P2">'Показатели ФХД'!$80:$80</definedName>
    <definedName name="BLOCK_POK_FHD_NOT_HOTVSNA">'Показатели ФХД'!$48:$48</definedName>
    <definedName name="BLOCK_POK_FHD_VOTV_P1">'Показатели ФХД'!$96:$98</definedName>
    <definedName name="BLOCK_POK_FHD_VSNA">'Показатели ФХД'!$114:$114</definedName>
    <definedName name="BLOCK_POK_FHD20_NOT_HEAT">'Показатели ФХД &gt;20%'!$20:$22</definedName>
    <definedName name="BLOCK_POK_KNE_COLDVSNA">'Показатели КНЭ'!$37:$63</definedName>
    <definedName name="BLOCK_POK_KNE_HEAT">'Показатели КНЭ'!$13:$35</definedName>
    <definedName name="BLOCK_POK_KNE_HOTVSNA">'Показатели КНЭ'!$65:$75</definedName>
    <definedName name="BLOCK_POK_KNE_VOTV">'Показатели КНЭ'!$77:$100</definedName>
    <definedName name="BLOCK_PRICE_INDICATORS_HEAT">Титульный!$42:$47</definedName>
    <definedName name="BLOCK_PRICE_INDICATORS_LEVEL">Титульный!$43:$44</definedName>
    <definedName name="BLOCK_PRICE_IST_TE">'Перечень тарифов'!$S:$V</definedName>
    <definedName name="BLOCK_PRICE_REQUEST">Титульный!$20:$24</definedName>
    <definedName name="BLOCK_PT_COLDVSNA">'Перечень тарифов'!$107:$131</definedName>
    <definedName name="BLOCK_PT_HEAT">'Перечень тарифов'!$13:$105</definedName>
    <definedName name="BLOCK_PT_HEAT_NOT_R">'Перечень тарифов'!$91:$95</definedName>
    <definedName name="BLOCK_PT_HEAT_NOT_R_TMP">'Перечень тарифов'!$86:$90</definedName>
    <definedName name="BLOCK_PT_HEAT_PHEAT">'Перечень тарифов'!$51:$55</definedName>
    <definedName name="BLOCK_PT_HEAT_PHEAT_HIDDEN_FORMULAS">'Перечень тарифов'!$Z$51:$AQ$51</definedName>
    <definedName name="BLOCK_PT_HEAT_RHEAT">'Перечень тарифов'!$18:$50</definedName>
    <definedName name="BLOCK_PT_HEAT_RHEAT_HIDDEN_FORMULAS">'Перечень тарифов'!$Z$18:$AQ$18</definedName>
    <definedName name="BLOCK_PT_HOTVSNA">'Перечень тарифов'!$133:$147</definedName>
    <definedName name="BLOCK_PT_VOTV">'Перечень тарифов'!$149:$163</definedName>
    <definedName name="BLOCK_TABLE_P_TARIFF_A">'ТС. Т-ТЭ | &gt;=25МВт'!$28:$32</definedName>
    <definedName name="BLOCK_TABLE_P_TARIFF_A_COLDVSNA">'ХВС. Т-пит'!$26:$30</definedName>
    <definedName name="BLOCK_TABLE_P_TARIFF_A_HOTVSNA">'ГВС. Т-гор.вода'!$26:$30</definedName>
    <definedName name="BLOCK_TABLE_P_TARIFF_A_VOTV">'ВО. Т-во'!$26:$30</definedName>
    <definedName name="BLOCK_TABLE_P_TARIFF_B">'ТС. Т-ТЭ | ТСО'!$28:$32</definedName>
    <definedName name="BLOCK_TABLE_P_TARIFF_B_COLDVSNA">'ХВС. Т-тех'!$26:$30</definedName>
    <definedName name="BLOCK_TABLE_P_TARIFF_B_HOTVSNA">'ГВС. Т-транс'!$26:$30</definedName>
    <definedName name="BLOCK_TABLE_P_TARIFF_B_VOTV">'ВО. Т-транс'!$26:$30</definedName>
    <definedName name="BLOCK_TABLE_P_TARIFF_C">'ТС. Т-ТН'!$28:$32</definedName>
    <definedName name="BLOCK_TABLE_P_TARIFF_C_COLDVSNA">'ХВС. Т-транс'!$26:$30</definedName>
    <definedName name="BLOCK_TABLE_P_TARIFF_C_HOTVSNA">'ГВС. Т-подкл'!$30:$34</definedName>
    <definedName name="BLOCK_TABLE_P_TARIFF_C_VOTV">'ВО. Т-подкл'!$30:$34</definedName>
    <definedName name="BLOCK_TABLE_P_TARIFF_D">'ТС. Т-гор.вода'!$32:$36</definedName>
    <definedName name="BLOCK_TABLE_P_TARIFF_D_COLDVSNA">'ХВС. Т-подвоз'!$26:$30</definedName>
    <definedName name="BLOCK_TABLE_P_TARIFF_E_COLDVSNA">'ХВС. Т-подкл'!$30:$34</definedName>
    <definedName name="BLOCK_TABLE_P_TARIFF_E1">'ТС. Т-передача ТЭ'!$28:$32</definedName>
    <definedName name="BLOCK_TABLE_P_TARIFF_E2">'ТС. Т-передача ТН'!$28:$32</definedName>
    <definedName name="BLOCK_TABLE_P_TARIFF_F">'ТС. Резерв мощности'!$28:$32</definedName>
    <definedName name="BLOCK_TABLE_P_TARIFF_G">'ТС. Т-подкл'!$29:$33</definedName>
    <definedName name="BLOCK_TABLE_P_TARIFF_H">'ТС. Т-подкл(инд)'!$26:$30</definedName>
    <definedName name="BLOCK_TABLE_P_TARIFF_I">'ТС. Т-ТЭ | предел'!$28:$32</definedName>
    <definedName name="BLOCK_TABLE_P_TARIFF_I_1">'ТС. Т-ТЭ | индикат'!$28:$32</definedName>
    <definedName name="BLOCK_TABLE_R_TARIFF_A">'ТС. Т-ТЭ | &gt;=25МВт'!$33:$35</definedName>
    <definedName name="BLOCK_TABLE_R_TARIFF_A_COLDVSNA">'ХВС. Т-пит'!$31:$33</definedName>
    <definedName name="BLOCK_TABLE_R_TARIFF_A_HOTVSNA">'ГВС. Т-гор.вода'!$31:$33</definedName>
    <definedName name="BLOCK_TABLE_R_TARIFF_A_VOTV">'ВО. Т-во'!$31:$33</definedName>
    <definedName name="BLOCK_TABLE_R_TARIFF_B">'ТС. Т-ТЭ | ТСО'!$33:$35</definedName>
    <definedName name="BLOCK_TABLE_R_TARIFF_B_COLDVSNA">'ХВС. Т-тех'!$31:$33</definedName>
    <definedName name="BLOCK_TABLE_R_TARIFF_B_HOTVSNA">'ГВС. Т-транс'!$31:$33</definedName>
    <definedName name="BLOCK_TABLE_R_TARIFF_B_VOTV">'ВО. Т-транс'!$31:$33</definedName>
    <definedName name="BLOCK_TABLE_R_TARIFF_C">'ТС. Т-ТН'!$33:$35</definedName>
    <definedName name="BLOCK_TABLE_R_TARIFF_C_COLDVSNA">'ХВС. Т-транс'!$31:$33</definedName>
    <definedName name="BLOCK_TABLE_R_TARIFF_C_HOTVSNA">'ГВС. Т-подкл'!$35:$37</definedName>
    <definedName name="BLOCK_TABLE_R_TARIFF_C_VOTV">'ВО. Т-подкл'!$35:$37</definedName>
    <definedName name="BLOCK_TABLE_R_TARIFF_D">'ТС. Т-гор.вода'!$37:$39</definedName>
    <definedName name="BLOCK_TABLE_R_TARIFF_D_COLDVSNA">'ХВС. Т-подвоз'!$31:$33</definedName>
    <definedName name="BLOCK_TABLE_R_TARIFF_E_COLDVSNA">'ХВС. Т-подкл'!$35:$37</definedName>
    <definedName name="BLOCK_TABLE_R_TARIFF_E1">'ТС. Т-передача ТЭ'!$33:$35</definedName>
    <definedName name="BLOCK_TABLE_R_TARIFF_E2">'ТС. Т-передача ТН'!$33:$35</definedName>
    <definedName name="BLOCK_TABLE_R_TARIFF_F">'ТС. Резерв мощности'!$33:$35</definedName>
    <definedName name="BLOCK_TABLE_R_TARIFF_G">'ТС. Т-подкл'!$34:$36</definedName>
    <definedName name="BLOCK_TABLE_R_TARIFF_H">'ТС. Т-подкл(инд)'!$31:$33</definedName>
    <definedName name="BLOCK_TABLE_R_TARIFF_I">'ТС. Т-ТЭ | предел'!$33:$35</definedName>
    <definedName name="BLOCK_TABLE_R_TARIFF_I_1">'ТС. Т-ТЭ | индикат'!$33:$35</definedName>
    <definedName name="BLOCK_TEMPLATES_INVEST_TIT">Титульный!$59:$60</definedName>
    <definedName name="BLOCK_TERMS_HEAT_P1">Договоры!$19:$19</definedName>
    <definedName name="BLOCK_TERMS_NOT_TKO_P1">Договоры!$16:$18</definedName>
    <definedName name="BLOCK_TERMS_NOT_TKO_P2">Договоры!$20:$22</definedName>
    <definedName name="BLOCK_TERMS_TKO_TRANS">Договоры!$23:$26</definedName>
    <definedName name="BLOCK_TERRITORY_INFO">'Список территорий'!$7:$7</definedName>
    <definedName name="BLOCK_TITLE_ROIV_INFO">Титульный!$9:$9</definedName>
    <definedName name="BLOCK_WARM_ORG_TYPE">Титульный!$36:$36</definedName>
    <definedName name="checkCell_List01">'Список территорий'!$E$15:$I$15</definedName>
    <definedName name="checkCell_List07">'Сведения об изменении'!$D$11:$E$13</definedName>
    <definedName name="CLASS_TKO_LIST">TEHSHEET!$AZ$90:$AZ$94</definedName>
    <definedName name="code">Инструкция!$B$2</definedName>
    <definedName name="CodeTemplateList">TEHSHEET!$F$46:$F$53</definedName>
    <definedName name="COLDVSNA_FIN_SRC_LIST">TEHSHEET!$BJ$4:$BJ$34</definedName>
    <definedName name="COLDVSNA_FIN_SRC_VLD_LIST">TEHSHEET!$BJ$39:$BJ$60</definedName>
    <definedName name="COLDVSNA_IP_EVENT_CI_STAGE_LIST">TEHSHEET!$BJ$97:$BJ$100</definedName>
    <definedName name="COLDVSNA_IP_EVENT_GROUP_LIST">TEHSHEET!$BJ$69:$BJ$76</definedName>
    <definedName name="COLDVSNA_IP_EVENT_SUBGROUP_1_LIST">TEHSHEET!$BJ$80:$BJ$83</definedName>
    <definedName name="COLDVSNA_IP_EVENT_SUBGROUP_3_LIST">TEHSHEET!$BJ$87:$BJ$88</definedName>
    <definedName name="COLDVSNA_IP_EVENT_SUBGROUP_5_LIST">TEHSHEET!$BJ$92:$BJ$93</definedName>
    <definedName name="COLDVSNA_IP_EVENT_TYPE_LIST">TEHSHEET!$BJ$108</definedName>
    <definedName name="COLDVSNA_PT_VED_ID">TEHSHEET!$BT$19:$BT$25</definedName>
    <definedName name="COLDVSNA_PT_VED_NAME">TEHSHEET!$BU$19:$BU$25</definedName>
    <definedName name="COLDVSNA_PT_VED_NAME_LIST">TEHSHEET!$BT$19:$BU$25</definedName>
    <definedName name="COLDVSNA_TARIFF_A_COLDVSNA_ADD_HL_COLUMN_MARKER">'ХВС. Т-пит'!$T$34</definedName>
    <definedName name="COLDVSNA_TARIFF_A_COLDVSNA_DEL_HL_DATA_DIFF_COLUMN_MARKER">'ХВС. Т-пит'!$R$34</definedName>
    <definedName name="COLDVSNA_TARIFF_A_COLDVSNA_DEL_HL_FLAG_DIFF_COLUMN_MARKER">'ХВС. Т-пит'!$P$34</definedName>
    <definedName name="COLDVSNA_TARIFF_A_COLDVSNA_DEL_HL_GC_COLUMN_MARKER">'ХВС. Т-пит'!$Q$34</definedName>
    <definedName name="COLDVSNA_TARIFF_A_COLDVSNA_DELETE_PERIOD_ROW_MARKER">'ХВС. Т-пит'!$O$35</definedName>
    <definedName name="COLDVSNA_TARIFF_A_COLDVSNA_FLAG_BLOCK_COLUMN_MARKER">'ХВС. Т-пит'!$L$36</definedName>
    <definedName name="COLDVSNA_TARIFF_A_COLDVSNA_FLAG_BLOCK_ROW_MARKER">'ХВС. Т-пит'!$O$20</definedName>
    <definedName name="COLDVSNA_TARIFF_A_COLDVSNA_NUM_CS_COLUMN_MARKER">'ХВС. Т-пит'!$G$36</definedName>
    <definedName name="COLDVSNA_TARIFF_A_COLDVSNA_NUM_DATA_DIFF_COLUMN_MARKER">'ХВС. Т-пит'!$K$36</definedName>
    <definedName name="COLDVSNA_TARIFF_A_COLDVSNA_NUM_FLAG_DIFF_COLUMN_MARKER">'ХВС. Т-пит'!$I$36</definedName>
    <definedName name="COLDVSNA_TARIFF_A_COLDVSNA_NUM_GC_COLUMN_MARKER">'ХВС. Т-пит'!$J$36</definedName>
    <definedName name="COLDVSNA_TARIFF_A_COLDVSNA_NUM_NTAR_COLUMN_MARKER">'ХВС. Т-пит'!$E$36</definedName>
    <definedName name="COLDVSNA_TARIFF_A_COLDVSNA_NUM_TER_COLUMN_MARKER">'ХВС. Т-пит'!$F$36</definedName>
    <definedName name="COLDVSNA_TARIFF_B_COLDVSNA_ADD_HL_COLUMN_MARKER">'ХВС. Т-тех'!$T$34</definedName>
    <definedName name="COLDVSNA_TARIFF_B_COLDVSNA_DEL_HL_DATA_DIFF_COLUMN_MARKER">'ХВС. Т-тех'!$R$34</definedName>
    <definedName name="COLDVSNA_TARIFF_B_COLDVSNA_DEL_HL_FLAG_DIFF_COLUMN_MARKER">'ХВС. Т-тех'!$P$34</definedName>
    <definedName name="COLDVSNA_TARIFF_B_COLDVSNA_DEL_HL_GC_COLUMN_MARKER">'ХВС. Т-тех'!$Q$34</definedName>
    <definedName name="COLDVSNA_TARIFF_B_COLDVSNA_DELETE_PERIOD_ROW_MARKER">'ХВС. Т-тех'!$O$35</definedName>
    <definedName name="COLDVSNA_TARIFF_B_COLDVSNA_FLAG_BLOCK_COLUMN_MARKER">'ХВС. Т-тех'!$L$36</definedName>
    <definedName name="COLDVSNA_TARIFF_B_COLDVSNA_FLAG_BLOCK_ROW_MARKER">'ХВС. Т-тех'!$O$20</definedName>
    <definedName name="COLDVSNA_TARIFF_B_COLDVSNA_NUM_CS_COLUMN_MARKER">'ХВС. Т-тех'!$G$36</definedName>
    <definedName name="COLDVSNA_TARIFF_B_COLDVSNA_NUM_DATA_DIFF_COLUMN_MARKER">'ХВС. Т-тех'!$K$36</definedName>
    <definedName name="COLDVSNA_TARIFF_B_COLDVSNA_NUM_FLAG_DIFF_COLUMN_MARKER">'ХВС. Т-тех'!$I$36</definedName>
    <definedName name="COLDVSNA_TARIFF_B_COLDVSNA_NUM_GC_COLUMN_MARKER">'ХВС. Т-тех'!$J$36</definedName>
    <definedName name="COLDVSNA_TARIFF_B_COLDVSNA_NUM_NTAR_COLUMN_MARKER">'ХВС. Т-тех'!$E$36</definedName>
    <definedName name="COLDVSNA_TARIFF_B_COLDVSNA_NUM_TER_COLUMN_MARKER">'ХВС. Т-тех'!$F$36</definedName>
    <definedName name="COLDVSNA_TARIFF_C_COLDVSNA_ADD_HL_COLUMN_MARKER">'ХВС. Т-транс'!$T$34</definedName>
    <definedName name="COLDVSNA_TARIFF_C_COLDVSNA_DEL_HL_DATA_DIFF_COLUMN_MARKER">'ХВС. Т-транс'!$R$34</definedName>
    <definedName name="COLDVSNA_TARIFF_C_COLDVSNA_DEL_HL_FLAG_DIFF_COLUMN_MARKER">'ХВС. Т-транс'!$P$34</definedName>
    <definedName name="COLDVSNA_TARIFF_C_COLDVSNA_DEL_HL_GC_COLUMN_MARKER">'ХВС. Т-транс'!$Q$34</definedName>
    <definedName name="COLDVSNA_TARIFF_C_COLDVSNA_DELETE_PERIOD_ROW_MARKER">'ХВС. Т-транс'!$O$35</definedName>
    <definedName name="COLDVSNA_TARIFF_C_COLDVSNA_FLAG_BLOCK_COLUMN_MARKER">'ХВС. Т-транс'!$L$36</definedName>
    <definedName name="COLDVSNA_TARIFF_C_COLDVSNA_FLAG_BLOCK_ROW_MARKER">'ХВС. Т-транс'!$O$20</definedName>
    <definedName name="COLDVSNA_TARIFF_C_COLDVSNA_NUM_CS_COLUMN_MARKER">'ХВС. Т-транс'!$G$36</definedName>
    <definedName name="COLDVSNA_TARIFF_C_COLDVSNA_NUM_DATA_DIFF_COLUMN_MARKER">'ХВС. Т-транс'!$K$36</definedName>
    <definedName name="COLDVSNA_TARIFF_C_COLDVSNA_NUM_FLAG_DIFF_COLUMN_MARKER">'ХВС. Т-транс'!$I$36</definedName>
    <definedName name="COLDVSNA_TARIFF_C_COLDVSNA_NUM_GC_COLUMN_MARKER">'ХВС. Т-транс'!$J$36</definedName>
    <definedName name="COLDVSNA_TARIFF_C_COLDVSNA_NUM_NTAR_COLUMN_MARKER">'ХВС. Т-транс'!$E$36</definedName>
    <definedName name="COLDVSNA_TARIFF_C_COLDVSNA_NUM_TER_COLUMN_MARKER">'ХВС. Т-транс'!$F$36</definedName>
    <definedName name="COLDVSNA_TARIFF_D_COLDVSNA_ADD_HL_COLUMN_MARKER">'ХВС. Т-подвоз'!$T$34</definedName>
    <definedName name="COLDVSNA_TARIFF_D_COLDVSNA_DEL_HL_DATA_DIFF_COLUMN_MARKER">'ХВС. Т-подвоз'!$R$34</definedName>
    <definedName name="COLDVSNA_TARIFF_D_COLDVSNA_DEL_HL_FLAG_DIFF_COLUMN_MARKER">'ХВС. Т-подвоз'!$P$34</definedName>
    <definedName name="COLDVSNA_TARIFF_D_COLDVSNA_DEL_HL_GC_COLUMN_MARKER">'ХВС. Т-подвоз'!$Q$34</definedName>
    <definedName name="COLDVSNA_TARIFF_D_COLDVSNA_DELETE_PERIOD_ROW_MARKER">'ХВС. Т-подвоз'!$O$35</definedName>
    <definedName name="COLDVSNA_TARIFF_D_COLDVSNA_FLAG_BLOCK_COLUMN_MARKER">'ХВС. Т-подвоз'!$L$36</definedName>
    <definedName name="COLDVSNA_TARIFF_D_COLDVSNA_FLAG_BLOCK_ROW_MARKER">'ХВС. Т-подвоз'!$O$20</definedName>
    <definedName name="COLDVSNA_TARIFF_D_COLDVSNA_NUM_CS_COLUMN_MARKER">'ХВС. Т-подвоз'!$G$36</definedName>
    <definedName name="COLDVSNA_TARIFF_D_COLDVSNA_NUM_DATA_DIFF_COLUMN_MARKER">'ХВС. Т-подвоз'!$K$36</definedName>
    <definedName name="COLDVSNA_TARIFF_D_COLDVSNA_NUM_FLAG_DIFF_COLUMN_MARKER">'ХВС. Т-подвоз'!$I$36</definedName>
    <definedName name="COLDVSNA_TARIFF_D_COLDVSNA_NUM_GC_COLUMN_MARKER">'ХВС. Т-подвоз'!$J$36</definedName>
    <definedName name="COLDVSNA_TARIFF_D_COLDVSNA_NUM_NTAR_COLUMN_MARKER">'ХВС. Т-подвоз'!$E$36</definedName>
    <definedName name="COLDVSNA_TARIFF_D_COLDVSNA_NUM_TER_COLUMN_MARKER">'ХВС. Т-подвоз'!$F$36</definedName>
    <definedName name="COLDVSNA_TARIFF_E_COLDVSNA_ADD_HL_COLUMN_MARKER">'ХВС. Т-подкл'!$T$38</definedName>
    <definedName name="COLDVSNA_TARIFF_E_COLDVSNA_ADD_HL_DIAMETERS_COLUMN_MARKER">'ХВС. Т-подкл'!$AK$38</definedName>
    <definedName name="COLDVSNA_TARIFF_E_COLDVSNA_ADD_HL_LEN_COLUMN_MARKER">'ХВС. Т-подкл'!$AO$38</definedName>
    <definedName name="COLDVSNA_TARIFF_E_COLDVSNA_ADD_HL_LOAD_COLUMN_MARKER">'ХВС. Т-подкл'!$AG$38</definedName>
    <definedName name="COLDVSNA_TARIFF_E_COLDVSNA_ADD_HL_NETS_COLUMN_MARKER">'ХВС. Т-подкл'!$AS$38</definedName>
    <definedName name="COLDVSNA_TARIFF_E_COLDVSNA_DEL_HL_DATA_DIFF_COLUMN_MARKER">'ХВС. Т-подкл'!$R$38</definedName>
    <definedName name="COLDVSNA_TARIFF_E_COLDVSNA_DEL_HL_DIAMETERS_COLUMN_MARKER">'ХВС. Т-подкл'!$AI$38</definedName>
    <definedName name="COLDVSNA_TARIFF_E_COLDVSNA_DEL_HL_FLAG_DIFF_COLUMN_MARKER">'ХВС. Т-подкл'!$P$38</definedName>
    <definedName name="COLDVSNA_TARIFF_E_COLDVSNA_DEL_HL_GC_COLUMN_MARKER">'ХВС. Т-подкл'!$Q$38</definedName>
    <definedName name="COLDVSNA_TARIFF_E_COLDVSNA_DEL_HL_LEN_COLUMN_MARKER">'ХВС. Т-подкл'!$AM$38</definedName>
    <definedName name="COLDVSNA_TARIFF_E_COLDVSNA_DEL_HL_LOAD_COLUMN_MARKER">'ХВС. Т-подкл'!$AE$38</definedName>
    <definedName name="COLDVSNA_TARIFF_E_COLDVSNA_DEL_HL_NETS_COLUMN_MARKER">'ХВС. Т-подкл'!$AQ$38</definedName>
    <definedName name="COLDVSNA_TARIFF_E_COLDVSNA_DELETE_PERIOD_ROW_MARKER">'ХВС. Т-подкл'!$O$39</definedName>
    <definedName name="COLDVSNA_TARIFF_E_COLDVSNA_FLAG_BLOCK_COLUMN_MARKER">'ХВС. Т-подкл'!$L$44</definedName>
    <definedName name="COLDVSNA_TARIFF_E_COLDVSNA_FLAG_BLOCK_ROW_MARKER">'ХВС. Т-подкл'!$O$24</definedName>
    <definedName name="COLDVSNA_TARIFF_E_COLDVSNA_NUM_CS_COLUMN_MARKER">'ХВС. Т-подкл'!$G$44</definedName>
    <definedName name="COLDVSNA_TARIFF_E_COLDVSNA_NUM_DATA_DIFF_COLUMN_MARKER">'ХВС. Т-подкл'!$K$44</definedName>
    <definedName name="COLDVSNA_TARIFF_E_COLDVSNA_NUM_DIAMETERS_COLUMN_MARKER">'ХВС. Т-подкл'!$AJ$38</definedName>
    <definedName name="COLDVSNA_TARIFF_E_COLDVSNA_NUM_FLAG_DIFF_COLUMN_MARKER">'ХВС. Т-подкл'!$I$44</definedName>
    <definedName name="COLDVSNA_TARIFF_E_COLDVSNA_NUM_GC_COLUMN_MARKER">'ХВС. Т-подкл'!$J$44</definedName>
    <definedName name="COLDVSNA_TARIFF_E_COLDVSNA_NUM_LEN_COLUMN_MARKER">'ХВС. Т-подкл'!$AN$38</definedName>
    <definedName name="COLDVSNA_TARIFF_E_COLDVSNA_NUM_LOAD_COLUMN_MARKER">'ХВС. Т-подкл'!$AF$38</definedName>
    <definedName name="COLDVSNA_TARIFF_E_COLDVSNA_NUM_NETS_COLUMN_MARKER">'ХВС. Т-подкл'!$AR$38</definedName>
    <definedName name="COLDVSNA_TARIFF_E_COLDVSNA_NUM_NTAR_COLUMN_MARKER">'ХВС. Т-подкл'!$E$44</definedName>
    <definedName name="COLDVSNA_TARIFF_E_COLDVSNA_NUM_TER_COLUMN_MARKER">'ХВС. Т-подкл'!$F$44</definedName>
    <definedName name="cross_without_borders">TEHSHEET!$J$27</definedName>
    <definedName name="CS_ID">TEHSHEET!$E$63</definedName>
    <definedName name="CURRENT_DATE">TEHSHEET!$H$29</definedName>
    <definedName name="CURRENT_YEAR">TEHSHEET!$G$44</definedName>
    <definedName name="DATA_URL">TEHSHEET!$H$32</definedName>
    <definedName name="DESCRIPTION_TERRITORY">REESTR_DS!$B$2</definedName>
    <definedName name="DIFFERENTIATION_AREA">Дифференциация!$I$12:$I$16</definedName>
    <definedName name="DIFFERENTIATION_AREA_ID">Дифференциация!$U$11:$U$17</definedName>
    <definedName name="DIFFERENTIATION_CheckC">Дифференциация!$D$12:$M$16</definedName>
    <definedName name="DIFFERENTIATION_fieldMarker">Дифференциация!$W$12:$W$16</definedName>
    <definedName name="DIFFERENTIATION_ID">TEHSHEET!$E$57</definedName>
    <definedName name="DIFFERENTIATION_ID_DIFF">Дифференциация!$O$12:$O$16</definedName>
    <definedName name="DIFFERENTIATION_SYSTEM">Дифференциация!$M$12:$M$16</definedName>
    <definedName name="DIFFERENTIATION_TARIFF_AREA_ID">'Перечень тарифов'!$Z$12:$Z$165</definedName>
    <definedName name="DIFFERENTIATION_TARIFF_VD_ID">'Перечень тарифов'!$AB$12:$AB$165</definedName>
    <definedName name="DIFFERENTIATION_TARIFF_VTAR_ID">'Перечень тарифов'!$AA$12:$AA$165</definedName>
    <definedName name="DIFFERENTIATION_TKO_ADD_HL_CLASS_TKO_COLUMN_MARKER">'Дифференциация тариф показатель'!$AH$7</definedName>
    <definedName name="DIFFERENTIATION_TKO_ADD_HL_NTAR_COLUMN_MARKER">'Дифференциация тариф показатель'!$J$7</definedName>
    <definedName name="DIFFERENTIATION_TKO_ADD_HL_TER_COLUMN_MARKER">'Дифференциация тариф показатель'!$V$7</definedName>
    <definedName name="DIFFERENTIATION_TKO_ADD_HL_TO_COLUMN_MARKER">'Дифференциация тариф показатель'!$P$7</definedName>
    <definedName name="DIFFERENTIATION_TKO_ADD_HL_TYPE_TKO_COLUMN_MARKER">'Дифференциация тариф показатель'!$AB$7</definedName>
    <definedName name="DIFFERENTIATION_TKO_ADD_HL_VTAR_COLUMN_MARKER">'Дифференциация тариф показатель'!$F$7</definedName>
    <definedName name="DIFFERENTIATION_TKO_AREA_ID">'Дифференциация тариф показатель'!$AK$11:$AK$41</definedName>
    <definedName name="DIFFERENTIATION_TKO_DEL_HL_CLASS_TKO_COLUMN_MARKER">'Дифференциация тариф показатель'!$AF$7</definedName>
    <definedName name="DIFFERENTIATION_TKO_DEL_HL_NTAR_COLUMN_MARKER">'Дифференциация тариф показатель'!$H$7</definedName>
    <definedName name="DIFFERENTIATION_TKO_DEL_HL_TER_COLUMN_MARKER">'Дифференциация тариф показатель'!$T$7</definedName>
    <definedName name="DIFFERENTIATION_TKO_DEL_HL_TO_COLUMN_MARKER">'Дифференциация тариф показатель'!$N$7</definedName>
    <definedName name="DIFFERENTIATION_TKO_DEL_HL_TYPE_TKO_COLUMN_MARKER">'Дифференциация тариф показатель'!$Z$7</definedName>
    <definedName name="DIFFERENTIATION_TKO_FLAG_DIFF_CLASS_TKO_ETC_COLUMN_MARKER">'Дифференциация тариф показатель'!$AE$7</definedName>
    <definedName name="DIFFERENTIATION_TKO_FLAG_DIFF_CLASS_TKO_TARIFF_COLUMN_MARKER">'Дифференциация тариф показатель'!$AD$7</definedName>
    <definedName name="DIFFERENTIATION_TKO_FLAG_DIFF_TER_ETC_COLUMN_MARKER">'Дифференциация тариф показатель'!$S$7</definedName>
    <definedName name="DIFFERENTIATION_TKO_FLAG_DIFF_TER_TARIFF_COLUMN_MARKER">'Дифференциация тариф показатель'!$R$7</definedName>
    <definedName name="DIFFERENTIATION_TKO_FLAG_DIFF_TO_ETC_COLUMN_MARKER">'Дифференциация тариф показатель'!$M$7</definedName>
    <definedName name="DIFFERENTIATION_TKO_FLAG_DIFF_TO_TARIFF_COLUMN_MARKER">'Дифференциация тариф показатель'!$L$7</definedName>
    <definedName name="DIFFERENTIATION_TKO_FLAG_DIFF_TYPE_TKO_ETC_COLUMN_MARKER">'Дифференциация тариф показатель'!$Y$7</definedName>
    <definedName name="DIFFERENTIATION_TKO_FLAG_DIFF_TYPE_TKO_TARIFF_COLUMN_MARKER">'Дифференциация тариф показатель'!$X$7</definedName>
    <definedName name="DIFFERENTIATION_TKO_FLAG_VTAR_COLUMN_MARKER">'Дифференциация тариф показатель'!$G$7</definedName>
    <definedName name="DIFFERENTIATION_TKO_TER_ID">'Дифференциация тариф показатель'!$AL$11:$AL$41</definedName>
    <definedName name="DIFFERENTIATION_UNMERGE_AREA">Дифференциация!$Q$12:$Q$16</definedName>
    <definedName name="DIFFERENTIATION_UNMERGE_SYSTEM">Дифференциация!$R$12:$R$16</definedName>
    <definedName name="DIFFERENTIATION_UNMERGE_VD">Дифференциация!$P$12:$P$16</definedName>
    <definedName name="DIFFERENTIATION_VD">Дифференциация!$E$12:$E$16</definedName>
    <definedName name="DIFFERENTIATION_VD_ID">Дифференциация!$V$11:$V$17</definedName>
    <definedName name="ED_DATE">ЭД!$G$12:$G$13</definedName>
    <definedName name="ED_DATE_PARKING">ЭД!$I$5</definedName>
    <definedName name="ED_LINK">ЭД!$H$12:$H$13</definedName>
    <definedName name="EndDateList">TEHSHEET!$H$46:$H$53</definedName>
    <definedName name="et_B_FHD20_1">et_union_hor!$127:$135</definedName>
    <definedName name="et_B_FHD20_1_HEAT">et_union_hor!$127:$135</definedName>
    <definedName name="et_B_FHD20_1_NOT_HEAT">et_union_hor!$115:$123</definedName>
    <definedName name="et_B_FHD20_2">et_union_hor!$139:$142</definedName>
    <definedName name="et_B_FHD20_3">et_union_hor!$147:$148</definedName>
    <definedName name="et_B_FHD20_4">et_union_hor!$150:$150</definedName>
    <definedName name="et_B_STANDARTS">'Стандарты качества'!$2:$2</definedName>
    <definedName name="et_CHANGE_INFO">et_union_hor!$4:$4</definedName>
    <definedName name="et_COLDVSNA_TARIFF_A_COLDVSNA_CS">'ХВС. Т-пит'!$4:$11</definedName>
    <definedName name="et_COLDVSNA_TARIFF_A_COLDVSNA_DATA_DIFF">'ХВС. Т-пит'!$7:$8</definedName>
    <definedName name="et_COLDVSNA_TARIFF_A_COLDVSNA_FLAG_DIFF">'ХВС. Т-пит'!$5:$10</definedName>
    <definedName name="et_COLDVSNA_TARIFF_A_COLDVSNA_GC">'ХВС. Т-пит'!$6:$9</definedName>
    <definedName name="et_COLDVSNA_TARIFF_A_COLDVSNA_NTAR">'ХВС. Т-пит'!$2:$13</definedName>
    <definedName name="et_COLDVSNA_TARIFF_A_COLDVSNA_PERIOD_COLOR">'ХВС. Т-пит'!$AC$7:$AI$8</definedName>
    <definedName name="et_COLDVSNA_TARIFF_A_COLDVSNA_PERIOD_NOT_COLOR">'ХВС. Т-пит'!$AC$15:$AI$16</definedName>
    <definedName name="et_COLDVSNA_TARIFF_A_COLDVSNA_TER">'ХВС. Т-пит'!$3:$12</definedName>
    <definedName name="et_COLDVSNA_TARIFF_A_COLDVSNA_TN">'ХВС. Т-пит'!$7:$8</definedName>
    <definedName name="et_COLDVSNA_TARIFF_B_COLDVSNA_CS">'ХВС. Т-тех'!$4:$11</definedName>
    <definedName name="et_COLDVSNA_TARIFF_B_COLDVSNA_DATA_DIFF">'ХВС. Т-тех'!$7:$8</definedName>
    <definedName name="et_COLDVSNA_TARIFF_B_COLDVSNA_FLAG_DIFF">'ХВС. Т-тех'!$5:$10</definedName>
    <definedName name="et_COLDVSNA_TARIFF_B_COLDVSNA_GC">'ХВС. Т-тех'!$6:$9</definedName>
    <definedName name="et_COLDVSNA_TARIFF_B_COLDVSNA_NTAR">'ХВС. Т-тех'!$2:$13</definedName>
    <definedName name="et_COLDVSNA_TARIFF_B_COLDVSNA_PERIOD_COLOR">'ХВС. Т-тех'!$AC$7:$AI$8</definedName>
    <definedName name="et_COLDVSNA_TARIFF_B_COLDVSNA_PERIOD_NOT_COLOR">'ХВС. Т-тех'!$AC$15:$AI$16</definedName>
    <definedName name="et_COLDVSNA_TARIFF_B_COLDVSNA_TER">'ХВС. Т-тех'!$3:$12</definedName>
    <definedName name="et_COLDVSNA_TARIFF_C_COLDVSNA_CS">'ХВС. Т-транс'!$4:$11</definedName>
    <definedName name="et_COLDVSNA_TARIFF_C_COLDVSNA_DATA_DIFF">'ХВС. Т-транс'!$7:$8</definedName>
    <definedName name="et_COLDVSNA_TARIFF_C_COLDVSNA_FLAG_DIFF">'ХВС. Т-транс'!$5:$10</definedName>
    <definedName name="et_COLDVSNA_TARIFF_C_COLDVSNA_GC">'ХВС. Т-транс'!$6:$9</definedName>
    <definedName name="et_COLDVSNA_TARIFF_C_COLDVSNA_NTAR">'ХВС. Т-транс'!$2:$13</definedName>
    <definedName name="et_COLDVSNA_TARIFF_C_COLDVSNA_PERIOD_COLOR">'ХВС. Т-транс'!$AC$7:$AI$8</definedName>
    <definedName name="et_COLDVSNA_TARIFF_C_COLDVSNA_PERIOD_NOT_COLOR">'ХВС. Т-транс'!$AC$15:$AI$16</definedName>
    <definedName name="et_COLDVSNA_TARIFF_C_COLDVSNA_TER">'ХВС. Т-транс'!$3:$12</definedName>
    <definedName name="et_COLDVSNA_TARIFF_D_COLDVSNA_CS">'ХВС. Т-подвоз'!$4:$11</definedName>
    <definedName name="et_COLDVSNA_TARIFF_D_COLDVSNA_DATA_DIFF">'ХВС. Т-подвоз'!$7:$8</definedName>
    <definedName name="et_COLDVSNA_TARIFF_D_COLDVSNA_FLAG_DIFF">'ХВС. Т-подвоз'!$5:$10</definedName>
    <definedName name="et_COLDVSNA_TARIFF_D_COLDVSNA_GC">'ХВС. Т-подвоз'!$6:$9</definedName>
    <definedName name="et_COLDVSNA_TARIFF_D_COLDVSNA_NTAR">'ХВС. Т-подвоз'!$2:$13</definedName>
    <definedName name="et_COLDVSNA_TARIFF_D_COLDVSNA_PERIOD_COLOR">'ХВС. Т-подвоз'!$AC$7:$AI$8</definedName>
    <definedName name="et_COLDVSNA_TARIFF_D_COLDVSNA_PERIOD_NOT_COLOR">'ХВС. Т-подвоз'!$AC$15:$AI$16</definedName>
    <definedName name="et_COLDVSNA_TARIFF_D_COLDVSNA_TER">'ХВС. Т-подвоз'!$3:$12</definedName>
    <definedName name="et_COLDVSNA_TARIFF_E_COLDVSNA_CS">'ХВС. Т-подкл'!$4:$16</definedName>
    <definedName name="et_COLDVSNA_TARIFF_E_COLDVSNA_DATA_DIFF">'ХВС. Т-подкл'!$8:$12</definedName>
    <definedName name="et_COLDVSNA_TARIFF_E_COLDVSNA_DIAMETERS">'ХВС. Т-подкл'!$8:$10</definedName>
    <definedName name="et_COLDVSNA_TARIFF_E_COLDVSNA_FLAG_DIFF">'ХВС. Т-подкл'!$6:$14</definedName>
    <definedName name="et_COLDVSNA_TARIFF_E_COLDVSNA_GC">'ХВС. Т-подкл'!$7:$13</definedName>
    <definedName name="et_COLDVSNA_TARIFF_E_COLDVSNA_LEN">'ХВС. Т-подкл'!$8:$9</definedName>
    <definedName name="et_COLDVSNA_TARIFF_E_COLDVSNA_LOAD">'ХВС. Т-подкл'!$8:$11</definedName>
    <definedName name="et_COLDVSNA_TARIFF_E_COLDVSNA_NETS">'ХВС. Т-подкл'!$8:$8</definedName>
    <definedName name="et_COLDVSNA_TARIFF_E_COLDVSNA_NTAR">'ХВС. Т-подкл'!$2:$18</definedName>
    <definedName name="et_COLDVSNA_TARIFF_E_COLDVSNA_PERIOD_COLOR">'ХВС. Т-подкл'!$AT$8:$BA$8</definedName>
    <definedName name="et_COLDVSNA_TARIFF_E_COLDVSNA_PERIOD_NOT_COLOR">'ХВС. Т-подкл'!$AT$20:$BA$20</definedName>
    <definedName name="et_COLDVSNA_TARIFF_E_COLDVSNA_TER">'ХВС. Т-подкл'!$3:$17</definedName>
    <definedName name="et_Comm">et_union_hor!$8:$8</definedName>
    <definedName name="et_DIFFERENTIATION_AREA">et_union_hor!$29:$30</definedName>
    <definedName name="et_DIFFERENTIATION_SYSTEM">et_union_hor!$34:$34</definedName>
    <definedName name="et_DIFFERENTIATION_TARIFF_COLOR">et_union_hor!$H$154:$W$158</definedName>
    <definedName name="et_DIFFERENTIATION_TARIFF_CS">et_union_hor!$169:$170</definedName>
    <definedName name="et_DIFFERENTIATION_TARIFF_IST_TE">et_union_hor!$172:$172</definedName>
    <definedName name="et_DIFFERENTIATION_TARIFF_NOT_COLOR">et_union_hor!$H$194:$W$198</definedName>
    <definedName name="et_DIFFERENTIATION_TARIFF_NOT_HEAT_COLOR">et_union_hor!$H$176:$W$180</definedName>
    <definedName name="et_DIFFERENTIATION_TARIFF_NOT_HEAT_CS">et_union_hor!$191:$192</definedName>
    <definedName name="et_DIFFERENTIATION_TARIFF_NOT_HEAT_NTAR">et_union_hor!$182:$185</definedName>
    <definedName name="et_DIFFERENTIATION_TARIFF_NOT_HEAT_TER">et_union_hor!$187:$189</definedName>
    <definedName name="et_DIFFERENTIATION_TARIFF_NOT_HEAT_VTAR">et_union_hor!$176:$180</definedName>
    <definedName name="et_DIFFERENTIATION_TARIFF_NTAR">et_union_hor!$160:$163</definedName>
    <definedName name="et_DIFFERENTIATION_TARIFF_TER">et_union_hor!$165:$167</definedName>
    <definedName name="et_DIFFERENTIATION_TARIFF_VTAR">et_union_hor!$154:$158</definedName>
    <definedName name="et_DIFFERENTIATION_TKO_CLASS_TKO">et_union_hor!$202:$202</definedName>
    <definedName name="et_DIFFERENTIATION_TKO_COLOR">et_union_hor!$H$202:$AI$207</definedName>
    <definedName name="et_DIFFERENTIATION_TKO_NOT_COLOR">et_union_hor!$H$209:$AI$214</definedName>
    <definedName name="et_DIFFERENTIATION_TKO_NTAR">et_union_hor!$202:$206</definedName>
    <definedName name="et_DIFFERENTIATION_TKO_TER">et_union_hor!$202:$204</definedName>
    <definedName name="et_DIFFERENTIATION_TKO_TO">et_union_hor!$202:$205</definedName>
    <definedName name="et_DIFFERENTIATION_TKO_TYPE_TKO">et_union_hor!$202:$203</definedName>
    <definedName name="et_DIFFERENTIATION_TKO_VTAR">et_union_hor!$202:$207</definedName>
    <definedName name="et_DIFFERENTIATION_VD">et_union_hor!$23:$25</definedName>
    <definedName name="et_ED">et_union_hor!$64:$64</definedName>
    <definedName name="et_HEAT_TARIFF_A_CS">'ТС. Т-ТЭ | &gt;=25МВт'!$4:$13</definedName>
    <definedName name="et_HEAT_TARIFF_A_GC">'ТС. Т-ТЭ | &gt;=25МВт'!$7:$10</definedName>
    <definedName name="et_HEAT_TARIFF_A_IST_TE">'ТС. Т-ТЭ | &gt;=25МВт'!$5:$12</definedName>
    <definedName name="et_HEAT_TARIFF_A_NTAR">'ТС. Т-ТЭ | &gt;=25МВт'!$2:$15</definedName>
    <definedName name="et_HEAT_TARIFF_A_PERIOD_COLOR">'ТС. Т-ТЭ | &gt;=25МВт'!$AD$8:$AK$9</definedName>
    <definedName name="et_HEAT_TARIFF_A_PERIOD_NOT_COLOR">'ТС. Т-ТЭ | &gt;=25МВт'!$AD$17:$AK$18</definedName>
    <definedName name="et_HEAT_TARIFF_A_SCHEME">'ТС. Т-ТЭ | &gt;=25МВт'!$6:$11</definedName>
    <definedName name="et_HEAT_TARIFF_A_TER">'ТС. Т-ТЭ | &gt;=25МВт'!$3:$14</definedName>
    <definedName name="et_HEAT_TARIFF_A_TN">'ТС. Т-ТЭ | &gt;=25МВт'!$8:$9</definedName>
    <definedName name="et_HEAT_TARIFF_B_CS">'ТС. Т-ТЭ | ТСО'!$4:$13</definedName>
    <definedName name="et_HEAT_TARIFF_B_GC">'ТС. Т-ТЭ | ТСО'!$7:$10</definedName>
    <definedName name="et_HEAT_TARIFF_B_IST_TE">'ТС. Т-ТЭ | ТСО'!$5:$12</definedName>
    <definedName name="et_HEAT_TARIFF_B_NTAR">'ТС. Т-ТЭ | ТСО'!$2:$15</definedName>
    <definedName name="et_HEAT_TARIFF_B_PERIOD_COLOR">'ТС. Т-ТЭ | ТСО'!$AD$8:$AK$9</definedName>
    <definedName name="et_HEAT_TARIFF_B_PERIOD_NOT_COLOR">'ТС. Т-ТЭ | ТСО'!$AD$17:$AK$18</definedName>
    <definedName name="et_HEAT_TARIFF_B_SCHEME">'ТС. Т-ТЭ | ТСО'!$6:$11</definedName>
    <definedName name="et_HEAT_TARIFF_B_TER">'ТС. Т-ТЭ | ТСО'!$3:$14</definedName>
    <definedName name="et_HEAT_TARIFF_B_TN">'ТС. Т-ТЭ | ТСО'!$8:$9</definedName>
    <definedName name="et_HEAT_TARIFF_C_CS">'ТС. Т-ТН'!$4:$13</definedName>
    <definedName name="et_HEAT_TARIFF_C_GC">'ТС. Т-ТН'!$7:$10</definedName>
    <definedName name="et_HEAT_TARIFF_C_IST_TE">'ТС. Т-ТН'!$5:$12</definedName>
    <definedName name="et_HEAT_TARIFF_C_NTAR">'ТС. Т-ТН'!$2:$15</definedName>
    <definedName name="et_HEAT_TARIFF_C_PERIOD_COLOR">'ТС. Т-ТН'!$AD$8:$AK$9</definedName>
    <definedName name="et_HEAT_TARIFF_C_PERIOD_NOT_COLOR">'ТС. Т-ТН'!$AD$17:$AK$18</definedName>
    <definedName name="et_HEAT_TARIFF_C_SCHEME">'ТС. Т-ТН'!$6:$11</definedName>
    <definedName name="et_HEAT_TARIFF_C_TER">'ТС. Т-ТН'!$3:$14</definedName>
    <definedName name="et_HEAT_TARIFF_C_TN">'ТС. Т-ТН'!$8:$9</definedName>
    <definedName name="et_HEAT_TARIFF_D_CONS">'ТС. Т-гор.вода'!$9:$10</definedName>
    <definedName name="et_HEAT_TARIFF_D_CS">'ТС. Т-гор.вода'!$4:$15</definedName>
    <definedName name="et_HEAT_TARIFF_D_GC">'ТС. Т-гор.вода'!$7:$12</definedName>
    <definedName name="et_HEAT_TARIFF_D_IST_TE">'ТС. Т-гор.вода'!$5:$14</definedName>
    <definedName name="et_HEAT_TARIFF_D_NTAR">'ТС. Т-гор.вода'!$2:$17</definedName>
    <definedName name="et_HEAT_TARIFF_D_PERIOD_COLOR">'ТС. Т-гор.вода'!$AG$8:$AO$10</definedName>
    <definedName name="et_HEAT_TARIFF_D_PERIOD_NOT_COLOR">'ТС. Т-гор.вода'!$AG$19:$AO$22</definedName>
    <definedName name="et_HEAT_TARIFF_D_SCHEME">'ТС. Т-гор.вода'!$6:$13</definedName>
    <definedName name="et_HEAT_TARIFF_D_TER">'ТС. Т-гор.вода'!$3:$16</definedName>
    <definedName name="et_HEAT_TARIFF_D_TN">'ТС. Т-гор.вода'!$8:$11</definedName>
    <definedName name="et_HEAT_TARIFF_E1_CS">'ТС. Т-передача ТЭ'!$4:$13</definedName>
    <definedName name="et_HEAT_TARIFF_E1_GC">'ТС. Т-передача ТЭ'!$7:$10</definedName>
    <definedName name="et_HEAT_TARIFF_E1_IST_TE">'ТС. Т-передача ТЭ'!$5:$12</definedName>
    <definedName name="et_HEAT_TARIFF_E1_NTAR">'ТС. Т-передача ТЭ'!$2:$15</definedName>
    <definedName name="et_HEAT_TARIFF_E1_PERIOD_COLOR">'ТС. Т-передача ТЭ'!$AD$8:$AK$9</definedName>
    <definedName name="et_HEAT_TARIFF_E1_PERIOD_NOT_COLOR">'ТС. Т-передача ТЭ'!$AD$17:$AK$18</definedName>
    <definedName name="et_HEAT_TARIFF_E1_SCHEME">'ТС. Т-передача ТЭ'!$6:$11</definedName>
    <definedName name="et_HEAT_TARIFF_E1_TER">'ТС. Т-передача ТЭ'!$3:$14</definedName>
    <definedName name="et_HEAT_TARIFF_E1_TN">'ТС. Т-передача ТЭ'!$8:$9</definedName>
    <definedName name="et_HEAT_TARIFF_E2_CS">'ТС. Т-передача ТН'!$4:$13</definedName>
    <definedName name="et_HEAT_TARIFF_E2_GC">'ТС. Т-передача ТН'!$7:$10</definedName>
    <definedName name="et_HEAT_TARIFF_E2_IST_TE">'ТС. Т-передача ТН'!$5:$12</definedName>
    <definedName name="et_HEAT_TARIFF_E2_NTAR">'ТС. Т-передача ТН'!$2:$15</definedName>
    <definedName name="et_HEAT_TARIFF_E2_PERIOD_COLOR">'ТС. Т-передача ТН'!$AD$8:$AK$9</definedName>
    <definedName name="et_HEAT_TARIFF_E2_PERIOD_NOT_COLOR">'ТС. Т-передача ТН'!$AD$17:$AK$18</definedName>
    <definedName name="et_HEAT_TARIFF_E2_SCHEME">'ТС. Т-передача ТН'!$6:$11</definedName>
    <definedName name="et_HEAT_TARIFF_E2_TER">'ТС. Т-передача ТН'!$3:$14</definedName>
    <definedName name="et_HEAT_TARIFF_E2_TN">'ТС. Т-передача ТН'!$8:$9</definedName>
    <definedName name="et_HEAT_TARIFF_F_CS">'ТС. Резерв мощности'!$4:$13</definedName>
    <definedName name="et_HEAT_TARIFF_F_GC">'ТС. Резерв мощности'!$7:$10</definedName>
    <definedName name="et_HEAT_TARIFF_F_IST_TE">'ТС. Резерв мощности'!$5:$12</definedName>
    <definedName name="et_HEAT_TARIFF_F_NTAR">'ТС. Резерв мощности'!$2:$15</definedName>
    <definedName name="et_HEAT_TARIFF_F_PERIOD_COLOR">'ТС. Резерв мощности'!$AD$8:$AK$9</definedName>
    <definedName name="et_HEAT_TARIFF_F_PERIOD_NOT_COLOR">'ТС. Резерв мощности'!$AD$17:$AK$18</definedName>
    <definedName name="et_HEAT_TARIFF_F_SCHEME">'ТС. Резерв мощности'!$6:$11</definedName>
    <definedName name="et_HEAT_TARIFF_F_TER">'ТС. Резерв мощности'!$3:$14</definedName>
    <definedName name="et_HEAT_TARIFF_F_TN">'ТС. Резерв мощности'!$8:$9</definedName>
    <definedName name="et_HEAT_TARIFF_G_CS">'ТС. Т-подкл'!$4:$15</definedName>
    <definedName name="et_HEAT_TARIFF_G_DIAMETERS">'ТС. Т-подкл'!$8:$8</definedName>
    <definedName name="et_HEAT_TARIFF_G_GC">'ТС. Т-подкл'!$7:$12</definedName>
    <definedName name="et_HEAT_TARIFF_G_IST_TE">'ТС. Т-подкл'!$5:$14</definedName>
    <definedName name="et_HEAT_TARIFF_G_LOAD">'ТС. Т-подкл'!$8:$10</definedName>
    <definedName name="et_HEAT_TARIFF_G_NETS">'ТС. Т-подкл'!$8:$9</definedName>
    <definedName name="et_HEAT_TARIFF_G_NTAR">'ТС. Т-подкл'!$2:$17</definedName>
    <definedName name="et_HEAT_TARIFF_G_PERIOD_COLOR">'ТС. Т-подкл'!$AN$8:$AS$8</definedName>
    <definedName name="et_HEAT_TARIFF_G_PERIOD_NOT_COLOR">'ТС. Т-подкл'!$AN$19:$AS$19</definedName>
    <definedName name="et_HEAT_TARIFF_G_SCHEME">'ТС. Т-подкл'!$6:$13</definedName>
    <definedName name="et_HEAT_TARIFF_G_TER">'ТС. Т-подкл'!$3:$16</definedName>
    <definedName name="et_HEAT_TARIFF_G_TN">'ТС. Т-подкл'!$8:$11</definedName>
    <definedName name="et_HEAT_TARIFF_H_CS">'ТС. Т-подкл(инд)'!$4:$12</definedName>
    <definedName name="et_HEAT_TARIFF_H_DIAMETERS">'ТС. Т-подкл(инд)'!$8:$8</definedName>
    <definedName name="et_HEAT_TARIFF_H_GC">'ТС. Т-подкл(инд)'!$7:$9</definedName>
    <definedName name="et_HEAT_TARIFF_H_IST_TE">'ТС. Т-подкл(инд)'!$5:$11</definedName>
    <definedName name="et_HEAT_TARIFF_H_LOAD">'ТС. Т-подкл(инд)'!$8:$8</definedName>
    <definedName name="et_HEAT_TARIFF_H_NETS">'ТС. Т-подкл(инд)'!$8:$8</definedName>
    <definedName name="et_HEAT_TARIFF_H_NTAR">'ТС. Т-подкл(инд)'!$2:$14</definedName>
    <definedName name="et_HEAT_TARIFF_H_PERIOD_COLOR">'ТС. Т-подкл(инд)'!$AD$8:$AI$8</definedName>
    <definedName name="et_HEAT_TARIFF_H_PERIOD_NOT_COLOR">'ТС. Т-подкл(инд)'!$AD$16:$AI$16</definedName>
    <definedName name="et_HEAT_TARIFF_H_SCHEME">'ТС. Т-подкл(инд)'!$6:$10</definedName>
    <definedName name="et_HEAT_TARIFF_H_TER">'ТС. Т-подкл(инд)'!$3:$13</definedName>
    <definedName name="et_HEAT_TARIFF_H_TN">'ТС. Т-подкл(инд)'!$8:$8</definedName>
    <definedName name="et_HEAT_TARIFF_I_1_CS">'ТС. Т-ТЭ | индикат'!$4:$13</definedName>
    <definedName name="et_HEAT_TARIFF_I_1_GC">'ТС. Т-ТЭ | индикат'!$7:$10</definedName>
    <definedName name="et_HEAT_TARIFF_I_1_IST_TE">'ТС. Т-ТЭ | индикат'!$5:$12</definedName>
    <definedName name="et_HEAT_TARIFF_I_1_NTAR">'ТС. Т-ТЭ | индикат'!$2:$15</definedName>
    <definedName name="et_HEAT_TARIFF_I_1_PERIOD_COLOR">'ТС. Т-ТЭ | индикат'!$AD$8:$AK$9</definedName>
    <definedName name="et_HEAT_TARIFF_I_1_PERIOD_NOT_COLOR">'ТС. Т-ТЭ | индикат'!$AD$17:$AK$18</definedName>
    <definedName name="et_HEAT_TARIFF_I_1_SCHEME">'ТС. Т-ТЭ | индикат'!$6:$11</definedName>
    <definedName name="et_HEAT_TARIFF_I_1_TER">'ТС. Т-ТЭ | индикат'!$3:$14</definedName>
    <definedName name="et_HEAT_TARIFF_I_1_TN">'ТС. Т-ТЭ | индикат'!$8:$9</definedName>
    <definedName name="et_HEAT_TARIFF_I_CS">'ТС. Т-ТЭ | предел'!$4:$13</definedName>
    <definedName name="et_HEAT_TARIFF_I_GC">'ТС. Т-ТЭ | предел'!$7:$10</definedName>
    <definedName name="et_HEAT_TARIFF_I_IST_TE">'ТС. Т-ТЭ | предел'!$5:$12</definedName>
    <definedName name="et_HEAT_TARIFF_I_NTAR">'ТС. Т-ТЭ | предел'!$2:$15</definedName>
    <definedName name="et_HEAT_TARIFF_I_PERIOD_COLOR">'ТС. Т-ТЭ | предел'!$AD$8:$AK$9</definedName>
    <definedName name="et_HEAT_TARIFF_I_PERIOD_NOT_COLOR">'ТС. Т-ТЭ | предел'!$AD$17:$AK$18</definedName>
    <definedName name="et_HEAT_TARIFF_I_SCHEME">'ТС. Т-ТЭ | предел'!$6:$11</definedName>
    <definedName name="et_HEAT_TARIFF_I_TER">'ТС. Т-ТЭ | предел'!$3:$14</definedName>
    <definedName name="et_HEAT_TARIFF_I_TN">'ТС. Т-ТЭ | предел'!$8:$9</definedName>
    <definedName name="et_hor_B_FHD_1">'Показатели ФХД'!$2:$7</definedName>
    <definedName name="et_hor_B_FHD_2">'Показатели ФХД'!$9:$9</definedName>
    <definedName name="et_hor_B_FHD_3">'Показатели ФХД'!$11:$11</definedName>
    <definedName name="et_hor_B_FHD_4">'Показатели ФХД'!$13:$13</definedName>
    <definedName name="et_hor_B_FHD_5">'Показатели ФХД'!$15:$15</definedName>
    <definedName name="et_hor_B_FHD_6">'Показатели ФХД'!$17:$17</definedName>
    <definedName name="et_hor_B_FHD_TKO_2">'ТКО. Показатели ФХД'!$2:$2</definedName>
    <definedName name="et_hor_B_FHD_TKO_TRANS_2">'ТКО. Транс. Показатели ФХД'!$2:$2</definedName>
    <definedName name="et_hor_B_OTEP_2">'Показатели ОТЭП'!$2:$2</definedName>
    <definedName name="et_hor_Q_LIMIT_1">Ограничения!$3:$4</definedName>
    <definedName name="et_hor_Q_LIMIT_2">Ограничения!$6:$7</definedName>
    <definedName name="et_hor_Q_LIMIT_3">Ограничения!$9:$11</definedName>
    <definedName name="et_hor_Q_LIMIT_4">Ограничения!$13:$14</definedName>
    <definedName name="et_hor_Q_TP_1">ТП!$2:$2</definedName>
    <definedName name="et_HOTVSNA_TARIFF_A_HOTVSNA_CS">'ГВС. Т-гор.вода'!$4:$11</definedName>
    <definedName name="et_HOTVSNA_TARIFF_A_HOTVSNA_DATA_DIFF">'ГВС. Т-гор.вода'!$7:$8</definedName>
    <definedName name="et_HOTVSNA_TARIFF_A_HOTVSNA_FLAG_DIFF">'ГВС. Т-гор.вода'!$5:$10</definedName>
    <definedName name="et_HOTVSNA_TARIFF_A_HOTVSNA_GC">'ГВС. Т-гор.вода'!$6:$9</definedName>
    <definedName name="et_HOTVSNA_TARIFF_A_HOTVSNA_NTAR">'ГВС. Т-гор.вода'!$2:$13</definedName>
    <definedName name="et_HOTVSNA_TARIFF_A_HOTVSNA_PERIOD_COLOR">'ГВС. Т-гор.вода'!$AG$7:$AQ$8</definedName>
    <definedName name="et_HOTVSNA_TARIFF_A_HOTVSNA_PERIOD_NOT_COLOR">'ГВС. Т-гор.вода'!$AG$15:$AQ$16</definedName>
    <definedName name="et_HOTVSNA_TARIFF_A_HOTVSNA_TER">'ГВС. Т-гор.вода'!$3:$12</definedName>
    <definedName name="et_HOTVSNA_TARIFF_A_HOTVSNA_TN">'ГВС. Т-гор.вода'!$7:$8</definedName>
    <definedName name="et_HOTVSNA_TARIFF_B_HOTVSNA_CS">'ГВС. Т-транс'!$4:$11</definedName>
    <definedName name="et_HOTVSNA_TARIFF_B_HOTVSNA_DATA_DIFF">'ГВС. Т-транс'!$7:$8</definedName>
    <definedName name="et_HOTVSNA_TARIFF_B_HOTVSNA_FLAG_DIFF">'ГВС. Т-транс'!$5:$10</definedName>
    <definedName name="et_HOTVSNA_TARIFF_B_HOTVSNA_GC">'ГВС. Т-транс'!$6:$9</definedName>
    <definedName name="et_HOTVSNA_TARIFF_B_HOTVSNA_NTAR">'ГВС. Т-транс'!$2:$13</definedName>
    <definedName name="et_HOTVSNA_TARIFF_B_HOTVSNA_PERIOD_COLOR">'ГВС. Т-транс'!$AG$7:$AQ$8</definedName>
    <definedName name="et_HOTVSNA_TARIFF_B_HOTVSNA_PERIOD_NOT_COLOR">'ГВС. Т-транс'!$AG$15:$AQ$16</definedName>
    <definedName name="et_HOTVSNA_TARIFF_B_HOTVSNA_TER">'ГВС. Т-транс'!$3:$12</definedName>
    <definedName name="et_HOTVSNA_TARIFF_B_HOTVSNA_TN">'ГВС. Т-транс'!$7:$8</definedName>
    <definedName name="et_HOTVSNA_TARIFF_C_HOTVSNA_CS">'ГВС. Т-подкл'!$4:$16</definedName>
    <definedName name="et_HOTVSNA_TARIFF_C_HOTVSNA_DATA_DIFF">'ГВС. Т-подкл'!$8:$12</definedName>
    <definedName name="et_HOTVSNA_TARIFF_C_HOTVSNA_DIAMETERS">'ГВС. Т-подкл'!$8:$10</definedName>
    <definedName name="et_HOTVSNA_TARIFF_C_HOTVSNA_FLAG_DIFF">'ГВС. Т-подкл'!$6:$14</definedName>
    <definedName name="et_HOTVSNA_TARIFF_C_HOTVSNA_GC">'ГВС. Т-подкл'!$7:$13</definedName>
    <definedName name="et_HOTVSNA_TARIFF_C_HOTVSNA_LEN">'ГВС. Т-подкл'!$8:$9</definedName>
    <definedName name="et_HOTVSNA_TARIFF_C_HOTVSNA_LOAD">'ГВС. Т-подкл'!$8:$11</definedName>
    <definedName name="et_HOTVSNA_TARIFF_C_HOTVSNA_NETS">'ГВС. Т-подкл'!$8:$8</definedName>
    <definedName name="et_HOTVSNA_TARIFF_C_HOTVSNA_NTAR">'ГВС. Т-подкл'!$2:$18</definedName>
    <definedName name="et_HOTVSNA_TARIFF_C_HOTVSNA_PERIOD_COLOR">'ГВС. Т-подкл'!$AT$8:$BA$8</definedName>
    <definedName name="et_HOTVSNA_TARIFF_C_HOTVSNA_PERIOD_NOT_COLOR">'ГВС. Т-подкл'!$AT$20:$BA$20</definedName>
    <definedName name="et_HOTVSNA_TARIFF_C_HOTVSNA_TER">'ГВС. Т-подкл'!$3:$17</definedName>
    <definedName name="et_IP_DETAILED">et_union_hor!$81:$87</definedName>
    <definedName name="et_IP_DETAILED_EVENT">et_union_hor!$101:$105</definedName>
    <definedName name="et_IP_DETAILED_IST_FIN">et_union_hor!$97:$97</definedName>
    <definedName name="et_IP_DETAILED_OBJECT">et_union_hor!$91:$93</definedName>
    <definedName name="et_IP_DETAILED_YEAR">et_union_hor!$82:$87</definedName>
    <definedName name="et_IP_MAIN">et_union_hor!$72:$73</definedName>
    <definedName name="et_IP_MAIN_PROPERTY">et_union_hor!$77:$77</definedName>
    <definedName name="et_IP_QRE">et_union_hor!$109:$111</definedName>
    <definedName name="et_IP_QRE_CLAIM">et_union_hor!$110:$110</definedName>
    <definedName name="et_List02">et_union_hor!$154:$158</definedName>
    <definedName name="et_List02_1_wd">et_union_hor!$194:$197</definedName>
    <definedName name="et_List02_2_wd">et_union_hor!$194:$196</definedName>
    <definedName name="et_List02_3_wd">et_union_hor!$194:$195</definedName>
    <definedName name="et_List02_4_wd">et_union_hor!$194:$194</definedName>
    <definedName name="et_List02_changeColor_1">et_union_hor!$J$154:$J$157</definedName>
    <definedName name="et_List02_changeColor_1_wd">et_union_hor!$J$194:$J$197</definedName>
    <definedName name="et_List02_changeColor_2">et_union_hor!$N$154:$N$156</definedName>
    <definedName name="et_List02_changeColor_2_wd">et_union_hor!$N$194:$N$196</definedName>
    <definedName name="et_List02_changeColor_3">et_union_hor!$R$154:$R$155</definedName>
    <definedName name="et_List02_changeColor_3_wd">et_union_hor!$R$194:$R$195</definedName>
    <definedName name="et_List02_changeColor_4">et_union_hor!$V$154</definedName>
    <definedName name="et_List02_changeColor_4_wd">et_union_hor!$V$194</definedName>
    <definedName name="et_List02_wd">et_union_hor!$194:$198</definedName>
    <definedName name="et_OFFER_p1">Предложение!$8:$8</definedName>
    <definedName name="et_OFFER_p1_0">Предложение!$2:$3</definedName>
    <definedName name="et_OFFER_p2">Предложение!$10:$10</definedName>
    <definedName name="et_OFFER_p2_0">Предложение!$5:$6</definedName>
    <definedName name="et_ORG_INFO_1">et_union_hor!$39:$39</definedName>
    <definedName name="et_ORG_INFO_2">et_union_hor!$43:$43</definedName>
    <definedName name="et_ORG_INFO_3">et_union_hor!$47:$51</definedName>
    <definedName name="et_ORG_TERRITORY_MO">et_union_hor!$56:$56</definedName>
    <definedName name="et_ORG_TERRITORY_MO_FLAG_INTERNET">et_union_hor!$J$56</definedName>
    <definedName name="et_ORG_TERRITORY_MO_LINK">et_union_hor!$K$56</definedName>
    <definedName name="et_ORG_VD">et_union_hor!$60:$60</definedName>
    <definedName name="et_ORG_VD_COLDVSNA">et_union_hor!$X$60:$Z$60</definedName>
    <definedName name="et_ORG_VD_FIRST_SYSTEM">et_union_hor!$E$60</definedName>
    <definedName name="et_ORG_VD_HEAT">et_union_hor!$H$60:$R$60</definedName>
    <definedName name="et_ORG_VD_HOTVSNA">et_union_hor!$AB$60:$AC$60</definedName>
    <definedName name="et_ORG_VD_TKO_ACTIVITY">'Виды объектов'!$2:$3</definedName>
    <definedName name="et_ORG_VD_TKO_TYPE_OBJECT">'Виды объектов'!$2:$2</definedName>
    <definedName name="et_ORG_VD_VOTV">et_union_hor!$T$60:$V$60</definedName>
    <definedName name="et_P_PROCEDURE_TC_1">'Порядок ТП'!$2:$2</definedName>
    <definedName name="et_P_PROCEDURE_TC_2">'Порядок ТП'!$4:$4</definedName>
    <definedName name="et_P_PROCEDURE_TC_3">'Порядок ТП'!$6:$6</definedName>
    <definedName name="et_P_PROCEDURE_TC_4">'Порядок ТП'!$8:$8</definedName>
    <definedName name="et_P_PROCEDURE_TC_5">'Порядок ТП'!$10:$10</definedName>
    <definedName name="et_P_T_TERMS">et_union_hor!$68:$68</definedName>
    <definedName name="et_Q_TP_DIFFERENTIATION">ТП!$G:$G</definedName>
    <definedName name="et_QRE">et_union_hor!$109:$111</definedName>
    <definedName name="et_QRE_CLAIM">et_union_hor!$110:$110</definedName>
    <definedName name="et_R_B_Purch">'Сведения о закупках'!$2:$2</definedName>
    <definedName name="et_ROIV_CASE_case">'Дела об установлении тарифов'!$2:$2</definedName>
    <definedName name="et_ROIV_CASE_PUC_case">'Дела об утверждении ПУЦ'!$2:$2</definedName>
    <definedName name="et_ROIV_INFO_phone">'Орган регулирования'!$2:$2</definedName>
    <definedName name="et_ROIV_ORG_org">'Перечень организаций'!$2:$2</definedName>
    <definedName name="et_ROIV_OTV_DL">'Привлечение к ответственности'!$5:$5</definedName>
    <definedName name="et_ROIV_OTV_org">'Привлечение к ответственности'!$2:$3</definedName>
    <definedName name="et_TERMS">et_union_hor!$68:$68</definedName>
    <definedName name="et_TERRITORY_AREA">et_union_hor!$13:$15</definedName>
    <definedName name="et_TERRITORY_MO">et_union_hor!$19:$19</definedName>
    <definedName name="et_ver_B_FHD_DIFFERENTIATION">'Показатели ФХД'!$H:$H</definedName>
    <definedName name="et_ver_B_FHD_TKO_DIFFERENTIATION">'ТКО. Показатели ФХД'!$H:$H</definedName>
    <definedName name="et_ver_B_FHD_TKO_TRANS_DIFFERENTIATION">'ТКО. Транс. Показатели ФХД'!$H:$H</definedName>
    <definedName name="et_ver_B_KNE_DIFFERENTIATION">'Показатели КНЭ'!$G:$H</definedName>
    <definedName name="et_ver_B_OTEP_DIFFERENTIATION">'Показатели ОТЭП'!$L:$L</definedName>
    <definedName name="et_ver_COLDVSNA_TARIFF_A_COLDVSNA">'ХВС. Т-пит'!$V:$AB</definedName>
    <definedName name="et_ver_COLDVSNA_TARIFF_B_COLDVSNA">'ХВС. Т-тех'!$V:$AB</definedName>
    <definedName name="et_ver_COLDVSNA_TARIFF_C_COLDVSNA">'ХВС. Т-транс'!$V:$AB</definedName>
    <definedName name="et_ver_COLDVSNA_TARIFF_D_COLDVSNA">'ХВС. Т-подвоз'!$V:$AB</definedName>
    <definedName name="et_ver_COLDVSNA_TARIFF_E_COLDVSNA">'ХВС. Т-подкл'!$V:$AC</definedName>
    <definedName name="et_ver_HEAT_TARIFF_A">'ТС. Т-ТЭ | &gt;=25МВт'!$V:$AC</definedName>
    <definedName name="et_ver_HEAT_TARIFF_B">'ТС. Т-ТЭ | ТСО'!$V:$AC</definedName>
    <definedName name="et_ver_HEAT_TARIFF_C">'ТС. Т-ТН'!$V:$AC</definedName>
    <definedName name="et_ver_HEAT_TARIFF_D">'ТС. Т-гор.вода'!$X:$AF</definedName>
    <definedName name="et_ver_HEAT_TARIFF_E1">'ТС. Т-передача ТЭ'!$V:$AC</definedName>
    <definedName name="et_ver_HEAT_TARIFF_E2">'ТС. Т-передача ТН'!$V:$AC</definedName>
    <definedName name="et_ver_HEAT_TARIFF_F">'ТС. Резерв мощности'!$V:$AC</definedName>
    <definedName name="et_ver_HEAT_TARIFF_G">'ТС. Т-подкл'!$V:$AA</definedName>
    <definedName name="et_ver_HEAT_TARIFF_H">'ТС. Т-подкл(инд)'!$V:$AA</definedName>
    <definedName name="et_ver_HEAT_TARIFF_I">'ТС. Т-ТЭ | предел'!$V:$AC</definedName>
    <definedName name="et_ver_HEAT_TARIFF_I_1">'ТС. Т-ТЭ | индикат'!$V:$AC</definedName>
    <definedName name="et_ver_HOTVSNA_TARIFF_A_HOTVSNA">'ГВС. Т-гор.вода'!$V:$AF</definedName>
    <definedName name="et_ver_HOTVSNA_TARIFF_B_HOTVSNA">'ГВС. Т-транс'!$V:$AF</definedName>
    <definedName name="et_ver_HOTVSNA_TARIFF_C_HOTVSNA">'ГВС. Т-подкл'!$V:$AC</definedName>
    <definedName name="et_ver_IP_FIN_PLAN">'ИП. Финансовый план'!$H:$J</definedName>
    <definedName name="et_ver_IP_FIN_PLAN_YEAR">'ИП. Финансовый план'!$I:$I</definedName>
    <definedName name="et_ver_Q_LIMIT_DIFFERENTIATION">Ограничения!$G:$H</definedName>
    <definedName name="et_ver_Q_PH_DIFFERENTIATION">'Потребительские характеристики'!$G:$H</definedName>
    <definedName name="et_ver_Q_TP_DIFFERENTIATION">ТП!$G:$G</definedName>
    <definedName name="et_ver_VOTV_TARIFF_A_VOTV">'ВО. Т-во'!$V:$AB</definedName>
    <definedName name="et_ver_VOTV_TARIFF_B_VOTV">'ВО. Т-транс'!$V:$AB</definedName>
    <definedName name="et_ver_VOTV_TARIFF_C_VOTV">'ВО. Т-подкл'!$V:$AC</definedName>
    <definedName name="et_VOTV_TARIFF_A_VOTV_CS">'ВО. Т-во'!$4:$11</definedName>
    <definedName name="et_VOTV_TARIFF_A_VOTV_DATA_DIFF">'ВО. Т-во'!$7:$8</definedName>
    <definedName name="et_VOTV_TARIFF_A_VOTV_FLAG_DIFF">'ВО. Т-во'!$5:$10</definedName>
    <definedName name="et_VOTV_TARIFF_A_VOTV_GC">'ВО. Т-во'!$6:$9</definedName>
    <definedName name="et_VOTV_TARIFF_A_VOTV_NTAR">'ВО. Т-во'!$2:$13</definedName>
    <definedName name="et_VOTV_TARIFF_A_VOTV_PERIOD_COLOR">'ВО. Т-во'!$AC$7:$AI$8</definedName>
    <definedName name="et_VOTV_TARIFF_A_VOTV_PERIOD_NOT_COLOR">'ВО. Т-во'!$AC$15:$AI$16</definedName>
    <definedName name="et_VOTV_TARIFF_A_VOTV_TER">'ВО. Т-во'!$3:$12</definedName>
    <definedName name="et_VOTV_TARIFF_A_VOTV_TN">'ВО. Т-во'!$7:$8</definedName>
    <definedName name="et_VOTV_TARIFF_B_VOTV_CS">'ВО. Т-транс'!$4:$11</definedName>
    <definedName name="et_VOTV_TARIFF_B_VOTV_DATA_DIFF">'ВО. Т-транс'!$7:$8</definedName>
    <definedName name="et_VOTV_TARIFF_B_VOTV_FLAG_DIFF">'ВО. Т-транс'!$5:$10</definedName>
    <definedName name="et_VOTV_TARIFF_B_VOTV_GC">'ВО. Т-транс'!$6:$9</definedName>
    <definedName name="et_VOTV_TARIFF_B_VOTV_NTAR">'ВО. Т-транс'!$2:$13</definedName>
    <definedName name="et_VOTV_TARIFF_B_VOTV_PERIOD_COLOR">'ВО. Т-транс'!$AC$7:$AI$8</definedName>
    <definedName name="et_VOTV_TARIFF_B_VOTV_PERIOD_NOT_COLOR">'ВО. Т-транс'!$AC$15:$AI$16</definedName>
    <definedName name="et_VOTV_TARIFF_B_VOTV_TER">'ВО. Т-транс'!$3:$12</definedName>
    <definedName name="et_VOTV_TARIFF_B_VOTV_TN">'ВО. Т-транс'!$7:$8</definedName>
    <definedName name="et_VOTV_TARIFF_C_VOTV_CS">'ВО. Т-подкл'!$4:$16</definedName>
    <definedName name="et_VOTV_TARIFF_C_VOTV_DATA_DIFF">'ВО. Т-подкл'!$8:$12</definedName>
    <definedName name="et_VOTV_TARIFF_C_VOTV_DIAMETERS">'ВО. Т-подкл'!$8:$10</definedName>
    <definedName name="et_VOTV_TARIFF_C_VOTV_FLAG_DIFF">'ВО. Т-подкл'!$6:$14</definedName>
    <definedName name="et_VOTV_TARIFF_C_VOTV_GC">'ВО. Т-подкл'!$7:$13</definedName>
    <definedName name="et_VOTV_TARIFF_C_VOTV_LEN">'ВО. Т-подкл'!$8:$9</definedName>
    <definedName name="et_VOTV_TARIFF_C_VOTV_LOAD">'ВО. Т-подкл'!$8:$11</definedName>
    <definedName name="et_VOTV_TARIFF_C_VOTV_NETS">'ВО. Т-подкл'!$8:$8</definedName>
    <definedName name="et_VOTV_TARIFF_C_VOTV_NTAR">'ВО. Т-подкл'!$2:$18</definedName>
    <definedName name="et_VOTV_TARIFF_C_VOTV_PERIOD_COLOR">'ВО. Т-подкл'!$AT$8:$BA$8</definedName>
    <definedName name="et_VOTV_TARIFF_C_VOTV_PERIOD_NOT_COLOR">'ВО. Т-подкл'!$AT$20:$BA$20</definedName>
    <definedName name="et_VOTV_TARIFF_C_VOTV_TER">'ВО. Т-подкл'!$3:$17</definedName>
    <definedName name="f_quart">Титульный!$F$15</definedName>
    <definedName name="f_year">Титульный!$F$14</definedName>
    <definedName name="FHD_NAME_FORM">DATA_FORMS!$C$6</definedName>
    <definedName name="FHD_NOTE_P_1">DATA_NPA!$N$18</definedName>
    <definedName name="FHD_NOTE_P_10">DATA_NPA!$N$27</definedName>
    <definedName name="FHD_NOTE_P_11">DATA_NPA!$N$28</definedName>
    <definedName name="FHD_NOTE_P_12">DATA_NPA!$N$29</definedName>
    <definedName name="FHD_NOTE_P_13">DATA_NPA!$N$30</definedName>
    <definedName name="FHD_NOTE_P_14">DATA_NPA!$N$31</definedName>
    <definedName name="FHD_NOTE_P_15">DATA_NPA!$N$32</definedName>
    <definedName name="FHD_NOTE_P_16">DATA_NPA!$N$33</definedName>
    <definedName name="FHD_NOTE_P_17">DATA_NPA!$N$34</definedName>
    <definedName name="FHD_NOTE_P_18">DATA_NPA!$N$35</definedName>
    <definedName name="FHD_NOTE_P_19">DATA_NPA!$N$36</definedName>
    <definedName name="FHD_NOTE_P_2">DATA_NPA!$N$19</definedName>
    <definedName name="FHD_NOTE_P_20">DATA_NPA!$N$37</definedName>
    <definedName name="FHD_NOTE_P_21">DATA_NPA!$N$38</definedName>
    <definedName name="FHD_NOTE_P_22">DATA_NPA!$N$39</definedName>
    <definedName name="FHD_NOTE_P_23">DATA_NPA!$N$40</definedName>
    <definedName name="FHD_NOTE_P_24">DATA_NPA!$N$41</definedName>
    <definedName name="FHD_NOTE_P_25">DATA_NPA!$N$42</definedName>
    <definedName name="FHD_NOTE_P_26">DATA_NPA!$N$43</definedName>
    <definedName name="FHD_NOTE_P_27">DATA_NPA!$N$44</definedName>
    <definedName name="FHD_NOTE_P_28">DATA_NPA!$N$45</definedName>
    <definedName name="FHD_NOTE_P_29">DATA_NPA!$N$46</definedName>
    <definedName name="FHD_NOTE_P_3">DATA_NPA!$N$20</definedName>
    <definedName name="FHD_NOTE_P_30">DATA_NPA!$N$47</definedName>
    <definedName name="FHD_NOTE_P_31">DATA_NPA!$N$48</definedName>
    <definedName name="FHD_NOTE_P_32">DATA_NPA!$N$49</definedName>
    <definedName name="FHD_NOTE_P_33">DATA_NPA!$N$50</definedName>
    <definedName name="FHD_NOTE_P_34">DATA_NPA!$N$51</definedName>
    <definedName name="FHD_NOTE_P_35">DATA_NPA!$N$52</definedName>
    <definedName name="FHD_NOTE_P_36">DATA_NPA!$N$53</definedName>
    <definedName name="FHD_NOTE_P_37">DATA_NPA!$N$54</definedName>
    <definedName name="FHD_NOTE_P_38">DATA_NPA!$N$55</definedName>
    <definedName name="FHD_NOTE_P_39">DATA_NPA!$N$56</definedName>
    <definedName name="FHD_NOTE_P_4">DATA_NPA!$N$21</definedName>
    <definedName name="FHD_NOTE_P_40">DATA_NPA!$N$57</definedName>
    <definedName name="FHD_NOTE_P_41">DATA_NPA!$N$58</definedName>
    <definedName name="FHD_NOTE_P_42">DATA_NPA!$N$59</definedName>
    <definedName name="FHD_NOTE_P_43">DATA_NPA!$N$60</definedName>
    <definedName name="FHD_NOTE_P_44">DATA_NPA!$N$61</definedName>
    <definedName name="FHD_NOTE_P_45">DATA_NPA!$N$62</definedName>
    <definedName name="FHD_NOTE_P_46">DATA_NPA!$N$63</definedName>
    <definedName name="FHD_NOTE_P_47">DATA_NPA!$N$64</definedName>
    <definedName name="FHD_NOTE_P_48">DATA_NPA!$N$65</definedName>
    <definedName name="FHD_NOTE_P_49">DATA_NPA!$N$66</definedName>
    <definedName name="FHD_NOTE_P_5">DATA_NPA!$N$22</definedName>
    <definedName name="FHD_NOTE_P_50">DATA_NPA!$N$67</definedName>
    <definedName name="FHD_NOTE_P_51">DATA_NPA!$N$68</definedName>
    <definedName name="FHD_NOTE_P_52">DATA_NPA!$N$69</definedName>
    <definedName name="FHD_NOTE_P_53">DATA_NPA!$N$70</definedName>
    <definedName name="FHD_NOTE_P_54">DATA_NPA!$N$71</definedName>
    <definedName name="FHD_NOTE_P_55">DATA_NPA!$N$72</definedName>
    <definedName name="FHD_NOTE_P_56">DATA_NPA!$N$73</definedName>
    <definedName name="FHD_NOTE_P_57">DATA_NPA!$N$74</definedName>
    <definedName name="FHD_NOTE_P_58">DATA_NPA!$N$75</definedName>
    <definedName name="FHD_NOTE_P_59">DATA_NPA!$N$76</definedName>
    <definedName name="FHD_NOTE_P_6">DATA_NPA!$N$23</definedName>
    <definedName name="FHD_NOTE_P_60">DATA_NPA!$N$77</definedName>
    <definedName name="FHD_NOTE_P_61">DATA_NPA!$N$78</definedName>
    <definedName name="FHD_NOTE_P_62">DATA_NPA!$N$79</definedName>
    <definedName name="FHD_NOTE_P_63">DATA_NPA!$N$80</definedName>
    <definedName name="FHD_NOTE_P_64">DATA_NPA!$N$81</definedName>
    <definedName name="FHD_NOTE_P_65">DATA_NPA!$N$82</definedName>
    <definedName name="FHD_NOTE_P_66">DATA_NPA!$N$83</definedName>
    <definedName name="FHD_NOTE_P_67">DATA_NPA!$N$84</definedName>
    <definedName name="FHD_NOTE_P_68">DATA_NPA!$N$85</definedName>
    <definedName name="FHD_NOTE_P_69">DATA_NPA!$N$86</definedName>
    <definedName name="FHD_NOTE_P_7">DATA_NPA!$N$24</definedName>
    <definedName name="FHD_NOTE_P_70">DATA_NPA!$N$87</definedName>
    <definedName name="FHD_NOTE_P_71">DATA_NPA!$N$88</definedName>
    <definedName name="FHD_NOTE_P_72">DATA_NPA!$N$89</definedName>
    <definedName name="FHD_NOTE_P_73">DATA_NPA!$N$90</definedName>
    <definedName name="FHD_NOTE_P_74">DATA_NPA!$N$91</definedName>
    <definedName name="FHD_NOTE_P_75">DATA_NPA!$N$92</definedName>
    <definedName name="FHD_NOTE_P_76">DATA_NPA!$N$93</definedName>
    <definedName name="FHD_NOTE_P_77">DATA_NPA!$N$94</definedName>
    <definedName name="FHD_NOTE_P_78">DATA_NPA!$N$95</definedName>
    <definedName name="FHD_NOTE_P_79">DATA_NPA!$N$96</definedName>
    <definedName name="FHD_NOTE_P_8">DATA_NPA!$N$25</definedName>
    <definedName name="FHD_NOTE_P_80">DATA_NPA!$N$97</definedName>
    <definedName name="FHD_NOTE_P_81">DATA_NPA!$N$98</definedName>
    <definedName name="FHD_NOTE_P_82">DATA_NPA!$N$99</definedName>
    <definedName name="FHD_NOTE_P_83">DATA_NPA!$N$100</definedName>
    <definedName name="FHD_NOTE_P_84">DATA_NPA!$N$101</definedName>
    <definedName name="FHD_NOTE_P_9">DATA_NPA!$N$26</definedName>
    <definedName name="FHD_NUM_P_1">DATA_NPA!$L$18</definedName>
    <definedName name="FHD_NUM_P_10">DATA_NPA!$L$27</definedName>
    <definedName name="FHD_NUM_P_11">DATA_NPA!$L$28</definedName>
    <definedName name="FHD_NUM_P_12">DATA_NPA!$L$29</definedName>
    <definedName name="FHD_NUM_P_13">DATA_NPA!$L$30</definedName>
    <definedName name="FHD_NUM_P_14">DATA_NPA!$L$31</definedName>
    <definedName name="FHD_NUM_P_15">DATA_NPA!$L$32</definedName>
    <definedName name="FHD_NUM_P_16">DATA_NPA!$L$33</definedName>
    <definedName name="FHD_NUM_P_17">DATA_NPA!$L$34</definedName>
    <definedName name="FHD_NUM_P_18">DATA_NPA!$L$35</definedName>
    <definedName name="FHD_NUM_P_19">DATA_NPA!$L$36</definedName>
    <definedName name="FHD_NUM_P_2">DATA_NPA!$L$19</definedName>
    <definedName name="FHD_NUM_P_20">DATA_NPA!$L$37</definedName>
    <definedName name="FHD_NUM_P_21">DATA_NPA!$L$38</definedName>
    <definedName name="FHD_NUM_P_22">DATA_NPA!$L$39</definedName>
    <definedName name="FHD_NUM_P_23">DATA_NPA!$L$40</definedName>
    <definedName name="FHD_NUM_P_24">DATA_NPA!$L$41</definedName>
    <definedName name="FHD_NUM_P_25">DATA_NPA!$L$42</definedName>
    <definedName name="FHD_NUM_P_26">DATA_NPA!$L$43</definedName>
    <definedName name="FHD_NUM_P_27">DATA_NPA!$L$44</definedName>
    <definedName name="FHD_NUM_P_28">DATA_NPA!$L$45</definedName>
    <definedName name="FHD_NUM_P_29">DATA_NPA!$L$46</definedName>
    <definedName name="FHD_NUM_P_3">DATA_NPA!$L$20</definedName>
    <definedName name="FHD_NUM_P_30">DATA_NPA!$L$47</definedName>
    <definedName name="FHD_NUM_P_31">DATA_NPA!$L$48</definedName>
    <definedName name="FHD_NUM_P_32">DATA_NPA!$L$49</definedName>
    <definedName name="FHD_NUM_P_33">DATA_NPA!$L$50</definedName>
    <definedName name="FHD_NUM_P_34">DATA_NPA!$L$51</definedName>
    <definedName name="FHD_NUM_P_35">DATA_NPA!$L$52</definedName>
    <definedName name="FHD_NUM_P_36">DATA_NPA!$L$53</definedName>
    <definedName name="FHD_NUM_P_37">DATA_NPA!$L$54</definedName>
    <definedName name="FHD_NUM_P_38">DATA_NPA!$L$55</definedName>
    <definedName name="FHD_NUM_P_39">DATA_NPA!$L$56</definedName>
    <definedName name="FHD_NUM_P_4">DATA_NPA!$L$21</definedName>
    <definedName name="FHD_NUM_P_40">DATA_NPA!$L$57</definedName>
    <definedName name="FHD_NUM_P_41">DATA_NPA!$L$58</definedName>
    <definedName name="FHD_NUM_P_42">DATA_NPA!$L$59</definedName>
    <definedName name="FHD_NUM_P_43">DATA_NPA!$L$60</definedName>
    <definedName name="FHD_NUM_P_44">DATA_NPA!$L$61</definedName>
    <definedName name="FHD_NUM_P_45">DATA_NPA!$L$62</definedName>
    <definedName name="FHD_NUM_P_46">DATA_NPA!$L$63</definedName>
    <definedName name="FHD_NUM_P_47">DATA_NPA!$L$64</definedName>
    <definedName name="FHD_NUM_P_48">DATA_NPA!$L$65</definedName>
    <definedName name="FHD_NUM_P_49">DATA_NPA!$L$66</definedName>
    <definedName name="FHD_NUM_P_5">DATA_NPA!$L$22</definedName>
    <definedName name="FHD_NUM_P_50">DATA_NPA!$L$67</definedName>
    <definedName name="FHD_NUM_P_51">DATA_NPA!$L$68</definedName>
    <definedName name="FHD_NUM_P_52">DATA_NPA!$L$69</definedName>
    <definedName name="FHD_NUM_P_53">DATA_NPA!$L$70</definedName>
    <definedName name="FHD_NUM_P_54">DATA_NPA!$L$71</definedName>
    <definedName name="FHD_NUM_P_55">DATA_NPA!$L$72</definedName>
    <definedName name="FHD_NUM_P_56">DATA_NPA!$L$73</definedName>
    <definedName name="FHD_NUM_P_57">DATA_NPA!$L$74</definedName>
    <definedName name="FHD_NUM_P_58">DATA_NPA!$L$75</definedName>
    <definedName name="FHD_NUM_P_59">DATA_NPA!$L$76</definedName>
    <definedName name="FHD_NUM_P_6">DATA_NPA!$L$23</definedName>
    <definedName name="FHD_NUM_P_60">DATA_NPA!$L$77</definedName>
    <definedName name="FHD_NUM_P_61">DATA_NPA!$L$78</definedName>
    <definedName name="FHD_NUM_P_62">DATA_NPA!$L$79</definedName>
    <definedName name="FHD_NUM_P_63">DATA_NPA!$L$80</definedName>
    <definedName name="FHD_NUM_P_64">DATA_NPA!$L$81</definedName>
    <definedName name="FHD_NUM_P_65">DATA_NPA!$L$82</definedName>
    <definedName name="FHD_NUM_P_66">DATA_NPA!$L$83</definedName>
    <definedName name="FHD_NUM_P_67">DATA_NPA!$L$84</definedName>
    <definedName name="FHD_NUM_P_68">DATA_NPA!$L$85</definedName>
    <definedName name="FHD_NUM_P_69">DATA_NPA!$L$86</definedName>
    <definedName name="FHD_NUM_P_7">DATA_NPA!$L$24</definedName>
    <definedName name="FHD_NUM_P_70">DATA_NPA!$L$87</definedName>
    <definedName name="FHD_NUM_P_71">DATA_NPA!$L$88</definedName>
    <definedName name="FHD_NUM_P_72">DATA_NPA!$L$89</definedName>
    <definedName name="FHD_NUM_P_73">DATA_NPA!$L$90</definedName>
    <definedName name="FHD_NUM_P_74">DATA_NPA!$L$91</definedName>
    <definedName name="FHD_NUM_P_75">DATA_NPA!$L$92</definedName>
    <definedName name="FHD_NUM_P_76">DATA_NPA!$L$93</definedName>
    <definedName name="FHD_NUM_P_77">DATA_NPA!$L$94</definedName>
    <definedName name="FHD_NUM_P_78">DATA_NPA!$L$95</definedName>
    <definedName name="FHD_NUM_P_79">DATA_NPA!$L$96</definedName>
    <definedName name="FHD_NUM_P_8">DATA_NPA!$L$25</definedName>
    <definedName name="FHD_NUM_P_80">DATA_NPA!$L$97</definedName>
    <definedName name="FHD_NUM_P_81">DATA_NPA!$L$98</definedName>
    <definedName name="FHD_NUM_P_82">DATA_NPA!$L$99</definedName>
    <definedName name="FHD_NUM_P_83">DATA_NPA!$L$100</definedName>
    <definedName name="FHD_NUM_P_84">DATA_NPA!$L$101</definedName>
    <definedName name="FHD_NUM_P_9">DATA_NPA!$L$26</definedName>
    <definedName name="FHD_NUM_P_A">DATA_NPA!$L$18</definedName>
    <definedName name="FHD_P_1">DATA_NPA!$M$18</definedName>
    <definedName name="FHD_P_10">DATA_NPA!$M$27</definedName>
    <definedName name="FHD_P_11">DATA_NPA!$M$28</definedName>
    <definedName name="FHD_P_12">DATA_NPA!$M$29</definedName>
    <definedName name="FHD_P_13">DATA_NPA!$M$30</definedName>
    <definedName name="FHD_P_14">DATA_NPA!$M$31</definedName>
    <definedName name="FHD_P_15">DATA_NPA!$M$32</definedName>
    <definedName name="FHD_P_16">DATA_NPA!$M$33</definedName>
    <definedName name="FHD_P_17">DATA_NPA!$M$34</definedName>
    <definedName name="FHD_P_18">DATA_NPA!$M$35</definedName>
    <definedName name="FHD_P_19">DATA_NPA!$M$36</definedName>
    <definedName name="FHD_P_2">DATA_NPA!$M$19</definedName>
    <definedName name="FHD_P_20">DATA_NPA!$M$37</definedName>
    <definedName name="FHD_P_21">DATA_NPA!$M$38</definedName>
    <definedName name="FHD_P_22">DATA_NPA!$M$39</definedName>
    <definedName name="FHD_P_23">DATA_NPA!$M$40</definedName>
    <definedName name="FHD_P_24">DATA_NPA!$M$41</definedName>
    <definedName name="FHD_P_25">DATA_NPA!$M$42</definedName>
    <definedName name="FHD_P_26">DATA_NPA!$M$43</definedName>
    <definedName name="FHD_P_27">DATA_NPA!$M$44</definedName>
    <definedName name="FHD_P_28">DATA_NPA!$M$45</definedName>
    <definedName name="FHD_P_29">DATA_NPA!$M$46</definedName>
    <definedName name="FHD_P_3">DATA_NPA!$M$20</definedName>
    <definedName name="FHD_P_30">DATA_NPA!$M$47</definedName>
    <definedName name="FHD_P_31">DATA_NPA!$M$48</definedName>
    <definedName name="FHD_P_32">DATA_NPA!$M$49</definedName>
    <definedName name="FHD_P_33">DATA_NPA!$M$50</definedName>
    <definedName name="FHD_P_34">DATA_NPA!$M$51</definedName>
    <definedName name="FHD_P_35">DATA_NPA!$M$52</definedName>
    <definedName name="FHD_P_36">DATA_NPA!$M$53</definedName>
    <definedName name="FHD_P_37">DATA_NPA!$M$54</definedName>
    <definedName name="FHD_P_38">DATA_NPA!$M$55</definedName>
    <definedName name="FHD_P_39">DATA_NPA!$M$56</definedName>
    <definedName name="FHD_P_4">DATA_NPA!$M$21</definedName>
    <definedName name="FHD_P_40">DATA_NPA!$M$57</definedName>
    <definedName name="FHD_P_41">DATA_NPA!$M$58</definedName>
    <definedName name="FHD_P_42">DATA_NPA!$M$59</definedName>
    <definedName name="FHD_P_43">DATA_NPA!$M$60</definedName>
    <definedName name="FHD_P_44">DATA_NPA!$M$61</definedName>
    <definedName name="FHD_P_45">DATA_NPA!$M$62</definedName>
    <definedName name="FHD_P_46">DATA_NPA!$M$63</definedName>
    <definedName name="FHD_P_47">DATA_NPA!$M$64</definedName>
    <definedName name="FHD_P_48">DATA_NPA!$M$65</definedName>
    <definedName name="FHD_P_49">DATA_NPA!$M$66</definedName>
    <definedName name="FHD_P_5">DATA_NPA!$M$22</definedName>
    <definedName name="FHD_P_50">DATA_NPA!$M$67</definedName>
    <definedName name="FHD_P_51">DATA_NPA!$M$68</definedName>
    <definedName name="FHD_P_52">DATA_NPA!$M$69</definedName>
    <definedName name="FHD_P_53">DATA_NPA!$M$70</definedName>
    <definedName name="FHD_P_54">DATA_NPA!$M$71</definedName>
    <definedName name="FHD_P_55">DATA_NPA!$M$72</definedName>
    <definedName name="FHD_P_56">DATA_NPA!$M$73</definedName>
    <definedName name="FHD_P_57">DATA_NPA!$M$74</definedName>
    <definedName name="FHD_P_58">DATA_NPA!$M$75</definedName>
    <definedName name="FHD_P_59">DATA_NPA!$M$76</definedName>
    <definedName name="FHD_P_6">DATA_NPA!$M$23</definedName>
    <definedName name="FHD_P_60">DATA_NPA!$M$77</definedName>
    <definedName name="FHD_P_61">DATA_NPA!$M$78</definedName>
    <definedName name="FHD_P_62">DATA_NPA!$M$79</definedName>
    <definedName name="FHD_P_63">DATA_NPA!$M$80</definedName>
    <definedName name="FHD_P_64">DATA_NPA!$M$81</definedName>
    <definedName name="FHD_P_65">DATA_NPA!$M$82</definedName>
    <definedName name="FHD_P_66">DATA_NPA!$M$83</definedName>
    <definedName name="FHD_P_67">DATA_NPA!$M$84</definedName>
    <definedName name="FHD_P_68">DATA_NPA!$M$85</definedName>
    <definedName name="FHD_P_69">DATA_NPA!$M$86</definedName>
    <definedName name="FHD_P_7">DATA_NPA!$M$24</definedName>
    <definedName name="FHD_P_70">DATA_NPA!$M$87</definedName>
    <definedName name="FHD_P_71">DATA_NPA!$M$88</definedName>
    <definedName name="FHD_P_72">DATA_NPA!$M$89</definedName>
    <definedName name="FHD_P_73">DATA_NPA!$M$90</definedName>
    <definedName name="FHD_P_74">DATA_NPA!$M$91</definedName>
    <definedName name="FHD_P_75">DATA_NPA!$M$92</definedName>
    <definedName name="FHD_P_76">DATA_NPA!$M$93</definedName>
    <definedName name="FHD_P_77">DATA_NPA!$M$94</definedName>
    <definedName name="FHD_P_78">DATA_NPA!$M$95</definedName>
    <definedName name="FHD_P_79">DATA_NPA!$M$96</definedName>
    <definedName name="FHD_P_8">DATA_NPA!$M$25</definedName>
    <definedName name="FHD_P_80">DATA_NPA!$M$97</definedName>
    <definedName name="FHD_P_81">DATA_NPA!$M$98</definedName>
    <definedName name="FHD_P_82">DATA_NPA!$M$99</definedName>
    <definedName name="FHD_P_83">DATA_NPA!$M$100</definedName>
    <definedName name="FHD_P_84">DATA_NPA!$M$101</definedName>
    <definedName name="FHD_P_9">DATA_NPA!$M$26</definedName>
    <definedName name="FHD_P_A">DATA_NPA!$M$18</definedName>
    <definedName name="FHD20_NAME_FORM">DATA_FORMS!$C$7</definedName>
    <definedName name="fil">Титульный!$F$32</definedName>
    <definedName name="flag_Q_LIMIT_p3">Ограничения!$F$36:$K$36</definedName>
    <definedName name="flag_Q_LIMIT_p4">Ограничения!$F$38:$K$38</definedName>
    <definedName name="HEAT_FIN_SRC_LIST">TEHSHEET!$BH$4:$BH$26</definedName>
    <definedName name="HEAT_FIN_SRC_VLD_LIST">TEHSHEET!$BH$39:$BH$54</definedName>
    <definedName name="HEAT_IP_EVENT_CI_STAGE_LIST">TEHSHEET!$BH$97:$BH$99</definedName>
    <definedName name="HEAT_IP_EVENT_GROUP_LIST">TEHSHEET!$BH$69:$BH$76</definedName>
    <definedName name="HEAT_IP_EVENT_SUBGROUP_1_LIST">TEHSHEET!$BH$80:$BH$83</definedName>
    <definedName name="HEAT_IP_EVENT_SUBGROUP_3_LIST">TEHSHEET!$BH$87:$BH$88</definedName>
    <definedName name="HEAT_IP_EVENT_SUBGROUP_5_LIST">TEHSHEET!$BH$92:$BH$93</definedName>
    <definedName name="HEAT_IP_EVENT_TYPE_LIST">TEHSHEET!$BH$108:$BH$110</definedName>
    <definedName name="HEAT_PT_SCHEME">TEHSHEET!$BH$115:$BH$118</definedName>
    <definedName name="HEAT_PT_TARIFF_ID">TEHSHEET!$BQ$5:$BQ$14</definedName>
    <definedName name="HEAT_PT_TARIFF_NAME">TEHSHEET!$BR$5:$BR$14</definedName>
    <definedName name="HEAT_PT_TARIFF_NAME_LIST">TEHSHEET!$BQ$5:$BR$14</definedName>
    <definedName name="HEAT_PT_VED_ID">TEHSHEET!$BQ$19:$BQ$28</definedName>
    <definedName name="HEAT_PT_VED_NAME">TEHSHEET!$BR$19:$BR$28</definedName>
    <definedName name="HEAT_PT_VED_NAME_LIST">TEHSHEET!$BQ$19:$BR$28</definedName>
    <definedName name="HEAT_TARIFF_A_ADD_HL_COLUMN_MARKER">'ТС. Т-ТЭ | &gt;=25МВт'!$T$36</definedName>
    <definedName name="HEAT_TARIFF_A_DEL_HL_GC_COLUMN_MARKER">'ТС. Т-ТЭ | &gt;=25МВт'!$Q$36</definedName>
    <definedName name="HEAT_TARIFF_A_DEL_HL_SCHEME_COLUMN_MARKER">'ТС. Т-ТЭ | &gt;=25МВт'!$P$36</definedName>
    <definedName name="HEAT_TARIFF_A_DEL_HL_TN_COLUMN_MARKER">'ТС. Т-ТЭ | &gt;=25МВт'!$R$36</definedName>
    <definedName name="HEAT_TARIFF_A_DELETE_PERIOD_ROW_MARKER">'ТС. Т-ТЭ | &gt;=25МВт'!$O$37</definedName>
    <definedName name="HEAT_TARIFF_A_FLAG_BLOCK_COLUMN_MARKER">'ТС. Т-ТЭ | &gt;=25МВт'!$L$41</definedName>
    <definedName name="HEAT_TARIFF_A_FLAG_BLOCK_ROW_MARKER">'ТС. Т-ТЭ | &gt;=25МВт'!$O$22</definedName>
    <definedName name="HEAT_TARIFF_A_NUM_CS_COLUMN_MARKER">'ТС. Т-ТЭ | &gt;=25МВт'!$G$41</definedName>
    <definedName name="HEAT_TARIFF_A_NUM_GC_COLUMN_MARKER">'ТС. Т-ТЭ | &gt;=25МВт'!$J$41</definedName>
    <definedName name="HEAT_TARIFF_A_NUM_IST_TE_COLUMN_MARKER">'ТС. Т-ТЭ | &gt;=25МВт'!$H$41</definedName>
    <definedName name="HEAT_TARIFF_A_NUM_NTAR_COLUMN_MARKER">'ТС. Т-ТЭ | &gt;=25МВт'!$E$41</definedName>
    <definedName name="HEAT_TARIFF_A_NUM_SCHEME_COLUMN_MARKER">'ТС. Т-ТЭ | &gt;=25МВт'!$I$41</definedName>
    <definedName name="HEAT_TARIFF_A_NUM_TER_COLUMN_MARKER">'ТС. Т-ТЭ | &gt;=25МВт'!$F$41</definedName>
    <definedName name="HEAT_TARIFF_A_NUM_TN_COLUMN_MARKER">'ТС. Т-ТЭ | &gt;=25МВт'!$K$41</definedName>
    <definedName name="HEAT_TARIFF_B_ADD_HL_COLUMN_MARKER">'ТС. Т-ТЭ | ТСО'!$T$36</definedName>
    <definedName name="HEAT_TARIFF_B_DEL_HL_GC_COLUMN_MARKER">'ТС. Т-ТЭ | ТСО'!$Q$36</definedName>
    <definedName name="HEAT_TARIFF_B_DEL_HL_SCHEME_COLUMN_MARKER">'ТС. Т-ТЭ | ТСО'!$P$36</definedName>
    <definedName name="HEAT_TARIFF_B_DEL_HL_TN_COLUMN_MARKER">'ТС. Т-ТЭ | ТСО'!$R$36</definedName>
    <definedName name="HEAT_TARIFF_B_DELETE_PERIOD_ROW_MARKER">'ТС. Т-ТЭ | ТСО'!$O$37</definedName>
    <definedName name="HEAT_TARIFF_B_FLAG_BLOCK_COLUMN_MARKER">'ТС. Т-ТЭ | ТСО'!$L$41</definedName>
    <definedName name="HEAT_TARIFF_B_FLAG_BLOCK_ROW_MARKER">'ТС. Т-ТЭ | ТСО'!$O$22</definedName>
    <definedName name="HEAT_TARIFF_B_NUM_CS_COLUMN_MARKER">'ТС. Т-ТЭ | ТСО'!$G$41</definedName>
    <definedName name="HEAT_TARIFF_B_NUM_GC_COLUMN_MARKER">'ТС. Т-ТЭ | ТСО'!$J$41</definedName>
    <definedName name="HEAT_TARIFF_B_NUM_IST_TE_COLUMN_MARKER">'ТС. Т-ТЭ | ТСО'!$H$41</definedName>
    <definedName name="HEAT_TARIFF_B_NUM_NTAR_COLUMN_MARKER">'ТС. Т-ТЭ | ТСО'!$E$41</definedName>
    <definedName name="HEAT_TARIFF_B_NUM_SCHEME_COLUMN_MARKER">'ТС. Т-ТЭ | ТСО'!$I$41</definedName>
    <definedName name="HEAT_TARIFF_B_NUM_TER_COLUMN_MARKER">'ТС. Т-ТЭ | ТСО'!$F$41</definedName>
    <definedName name="HEAT_TARIFF_B_NUM_TN_COLUMN_MARKER">'ТС. Т-ТЭ | ТСО'!$K$41</definedName>
    <definedName name="HEAT_TARIFF_C_ADD_HL_COLUMN_MARKER">'ТС. Т-ТН'!$T$36</definedName>
    <definedName name="HEAT_TARIFF_C_DEL_HL_GC_COLUMN_MARKER">'ТС. Т-ТН'!$Q$36</definedName>
    <definedName name="HEAT_TARIFF_C_DEL_HL_SCHEME_COLUMN_MARKER">'ТС. Т-ТН'!$P$36</definedName>
    <definedName name="HEAT_TARIFF_C_DEL_HL_TN_COLUMN_MARKER">'ТС. Т-ТН'!$R$36</definedName>
    <definedName name="HEAT_TARIFF_C_DELETE_PERIOD_ROW_MARKER">'ТС. Т-ТН'!$O$37</definedName>
    <definedName name="HEAT_TARIFF_C_FLAG_BLOCK_COLUMN_MARKER">'ТС. Т-ТН'!$L$41</definedName>
    <definedName name="HEAT_TARIFF_C_FLAG_BLOCK_ROW_MARKER">'ТС. Т-ТН'!$O$22</definedName>
    <definedName name="HEAT_TARIFF_C_NUM_CS_COLUMN_MARKER">'ТС. Т-ТН'!$G$41</definedName>
    <definedName name="HEAT_TARIFF_C_NUM_GC_COLUMN_MARKER">'ТС. Т-ТН'!$J$41</definedName>
    <definedName name="HEAT_TARIFF_C_NUM_IST_TE_COLUMN_MARKER">'ТС. Т-ТН'!$H$41</definedName>
    <definedName name="HEAT_TARIFF_C_NUM_NTAR_COLUMN_MARKER">'ТС. Т-ТН'!$E$41</definedName>
    <definedName name="HEAT_TARIFF_C_NUM_SCHEME_COLUMN_MARKER">'ТС. Т-ТН'!$I$41</definedName>
    <definedName name="HEAT_TARIFF_C_NUM_TER_COLUMN_MARKER">'ТС. Т-ТН'!$F$41</definedName>
    <definedName name="HEAT_TARIFF_C_NUM_TN_COLUMN_MARKER">'ТС. Т-ТН'!$K$41</definedName>
    <definedName name="HEAT_TARIFF_D_ADD_HL_COLUMN_MARKER">'ТС. Т-гор.вода'!$V$40</definedName>
    <definedName name="HEAT_TARIFF_D_DEL_HL_CONS_COLUMN_MARKER">'ТС. Т-гор.вода'!$T$40</definedName>
    <definedName name="HEAT_TARIFF_D_DEL_HL_GC_COLUMN_MARKER">'ТС. Т-гор.вода'!$R$40</definedName>
    <definedName name="HEAT_TARIFF_D_DEL_HL_SCHEME_COLUMN_MARKER">'ТС. Т-гор.вода'!$Q$40</definedName>
    <definedName name="HEAT_TARIFF_D_DEL_HL_TN_COLUMN_MARKER">'ТС. Т-гор.вода'!$S$40</definedName>
    <definedName name="HEAT_TARIFF_D_DELETE_PERIOD_ROW_MARKER">'ТС. Т-гор.вода'!$P$41</definedName>
    <definedName name="HEAT_TARIFF_D_FLAG_BLOCK_COLUMN_MARKER">'ТС. Т-гор.вода'!$M$47</definedName>
    <definedName name="HEAT_TARIFF_D_FLAG_BLOCK_ROW_MARKER">'ТС. Т-гор.вода'!$P$26</definedName>
    <definedName name="HEAT_TARIFF_D_NUM_CONS_COLUMN_MARKER">'ТС. Т-гор.вода'!$L$47</definedName>
    <definedName name="HEAT_TARIFF_D_NUM_CS_COLUMN_MARKER">'ТС. Т-гор.вода'!$G$47</definedName>
    <definedName name="HEAT_TARIFF_D_NUM_GC_COLUMN_MARKER">'ТС. Т-гор.вода'!$J$47</definedName>
    <definedName name="HEAT_TARIFF_D_NUM_IST_TE_COLUMN_MARKER">'ТС. Т-гор.вода'!$H$47</definedName>
    <definedName name="HEAT_TARIFF_D_NUM_NTAR_COLUMN_MARKER">'ТС. Т-гор.вода'!$E$47</definedName>
    <definedName name="HEAT_TARIFF_D_NUM_SCHEME_COLUMN_MARKER">'ТС. Т-гор.вода'!$I$47</definedName>
    <definedName name="HEAT_TARIFF_D_NUM_TER_COLUMN_MARKER">'ТС. Т-гор.вода'!$F$47</definedName>
    <definedName name="HEAT_TARIFF_D_NUM_TN_COLUMN_MARKER">'ТС. Т-гор.вода'!$K$47</definedName>
    <definedName name="HEAT_TARIFF_E1_ADD_HL_COLUMN_MARKER">'ТС. Т-передача ТЭ'!$T$36</definedName>
    <definedName name="HEAT_TARIFF_E1_DEL_HL_GC_COLUMN_MARKER">'ТС. Т-передача ТЭ'!$Q$36</definedName>
    <definedName name="HEAT_TARIFF_E1_DEL_HL_SCHEME_COLUMN_MARKER">'ТС. Т-передача ТЭ'!$P$36</definedName>
    <definedName name="HEAT_TARIFF_E1_DEL_HL_TN_COLUMN_MARKER">'ТС. Т-передача ТЭ'!$R$36</definedName>
    <definedName name="HEAT_TARIFF_E1_DELETE_PERIOD_ROW_MARKER">'ТС. Т-передача ТЭ'!$O$37</definedName>
    <definedName name="HEAT_TARIFF_E1_FLAG_BLOCK_COLUMN_MARKER">'ТС. Т-передача ТЭ'!$L$41</definedName>
    <definedName name="HEAT_TARIFF_E1_FLAG_BLOCK_ROW_MARKER">'ТС. Т-передача ТЭ'!$O$22</definedName>
    <definedName name="HEAT_TARIFF_E1_NUM_CS_COLUMN_MARKER">'ТС. Т-передача ТЭ'!$G$41</definedName>
    <definedName name="HEAT_TARIFF_E1_NUM_GC_COLUMN_MARKER">'ТС. Т-передача ТЭ'!$J$41</definedName>
    <definedName name="HEAT_TARIFF_E1_NUM_IST_TE_COLUMN_MARKER">'ТС. Т-передача ТЭ'!$H$41</definedName>
    <definedName name="HEAT_TARIFF_E1_NUM_NTAR_COLUMN_MARKER">'ТС. Т-передача ТЭ'!$E$41</definedName>
    <definedName name="HEAT_TARIFF_E1_NUM_SCHEME_COLUMN_MARKER">'ТС. Т-передача ТЭ'!$I$41</definedName>
    <definedName name="HEAT_TARIFF_E1_NUM_TER_COLUMN_MARKER">'ТС. Т-передача ТЭ'!$F$41</definedName>
    <definedName name="HEAT_TARIFF_E1_NUM_TN_COLUMN_MARKER">'ТС. Т-передача ТЭ'!$K$41</definedName>
    <definedName name="HEAT_TARIFF_E2_ADD_HL_COLUMN_MARKER">'ТС. Т-передача ТН'!$T$36</definedName>
    <definedName name="HEAT_TARIFF_E2_DEL_HL_GC_COLUMN_MARKER">'ТС. Т-передача ТН'!$Q$36</definedName>
    <definedName name="HEAT_TARIFF_E2_DEL_HL_SCHEME_COLUMN_MARKER">'ТС. Т-передача ТН'!$P$36</definedName>
    <definedName name="HEAT_TARIFF_E2_DEL_HL_TN_COLUMN_MARKER">'ТС. Т-передача ТН'!$R$36</definedName>
    <definedName name="HEAT_TARIFF_E2_DELETE_PERIOD_ROW_MARKER">'ТС. Т-передача ТН'!$O$37</definedName>
    <definedName name="HEAT_TARIFF_E2_FLAG_BLOCK_COLUMN_MARKER">'ТС. Т-передача ТН'!$L$41</definedName>
    <definedName name="HEAT_TARIFF_E2_FLAG_BLOCK_ROW_MARKER">'ТС. Т-передача ТН'!$O$22</definedName>
    <definedName name="HEAT_TARIFF_E2_NUM_CS_COLUMN_MARKER">'ТС. Т-передача ТН'!$G$41</definedName>
    <definedName name="HEAT_TARIFF_E2_NUM_GC_COLUMN_MARKER">'ТС. Т-передача ТН'!$J$41</definedName>
    <definedName name="HEAT_TARIFF_E2_NUM_IST_TE_COLUMN_MARKER">'ТС. Т-передача ТН'!$H$41</definedName>
    <definedName name="HEAT_TARIFF_E2_NUM_NTAR_COLUMN_MARKER">'ТС. Т-передача ТН'!$E$41</definedName>
    <definedName name="HEAT_TARIFF_E2_NUM_SCHEME_COLUMN_MARKER">'ТС. Т-передача ТН'!$I$41</definedName>
    <definedName name="HEAT_TARIFF_E2_NUM_TER_COLUMN_MARKER">'ТС. Т-передача ТН'!$F$41</definedName>
    <definedName name="HEAT_TARIFF_E2_NUM_TN_COLUMN_MARKER">'ТС. Т-передача ТН'!$K$41</definedName>
    <definedName name="HEAT_TARIFF_F_ADD_HL_COLUMN_MARKER">'ТС. Резерв мощности'!$T$36</definedName>
    <definedName name="HEAT_TARIFF_F_DEL_HL_GC_COLUMN_MARKER">'ТС. Резерв мощности'!$Q$36</definedName>
    <definedName name="HEAT_TARIFF_F_DEL_HL_SCHEME_COLUMN_MARKER">'ТС. Резерв мощности'!$P$36</definedName>
    <definedName name="HEAT_TARIFF_F_DEL_HL_TN_COLUMN_MARKER">'ТС. Резерв мощности'!$R$36</definedName>
    <definedName name="HEAT_TARIFF_F_DELETE_PERIOD_ROW_MARKER">'ТС. Резерв мощности'!$O$37</definedName>
    <definedName name="HEAT_TARIFF_F_FLAG_BLOCK_COLUMN_MARKER">'ТС. Резерв мощности'!$L$41</definedName>
    <definedName name="HEAT_TARIFF_F_FLAG_BLOCK_ROW_MARKER">'ТС. Резерв мощности'!$O$22</definedName>
    <definedName name="HEAT_TARIFF_F_NUM_CS_COLUMN_MARKER">'ТС. Резерв мощности'!$G$41</definedName>
    <definedName name="HEAT_TARIFF_F_NUM_GC_COLUMN_MARKER">'ТС. Резерв мощности'!$J$41</definedName>
    <definedName name="HEAT_TARIFF_F_NUM_IST_TE_COLUMN_MARKER">'ТС. Резерв мощности'!$H$41</definedName>
    <definedName name="HEAT_TARIFF_F_NUM_NTAR_COLUMN_MARKER">'ТС. Резерв мощности'!$E$41</definedName>
    <definedName name="HEAT_TARIFF_F_NUM_SCHEME_COLUMN_MARKER">'ТС. Резерв мощности'!$I$41</definedName>
    <definedName name="HEAT_TARIFF_F_NUM_TER_COLUMN_MARKER">'ТС. Резерв мощности'!$F$41</definedName>
    <definedName name="HEAT_TARIFF_F_NUM_TN_COLUMN_MARKER">'ТС. Резерв мощности'!$K$41</definedName>
    <definedName name="HEAT_TARIFF_G_ADD_HL_COLUMN_MARKER">'ТС. Т-подкл'!$T$37</definedName>
    <definedName name="HEAT_TARIFF_G_ADD_HL_DIAMETERS_COLUMN_MARKER">'ТС. Т-подкл'!$AM$37</definedName>
    <definedName name="HEAT_TARIFF_G_ADD_HL_LOAD_COLUMN_MARKER">'ТС. Т-подкл'!$AE$37</definedName>
    <definedName name="HEAT_TARIFF_G_ADD_HL_NETS_COLUMN_MARKER">'ТС. Т-подкл'!$AI$37</definedName>
    <definedName name="HEAT_TARIFF_G_DEL_HL_DIAMETERS_COLUMN_MARKER">'ТС. Т-подкл'!$AK$37</definedName>
    <definedName name="HEAT_TARIFF_G_DEL_HL_GC_COLUMN_MARKER">'ТС. Т-подкл'!$Q$37</definedName>
    <definedName name="HEAT_TARIFF_G_DEL_HL_LOAD_COLUMN_MARKER">'ТС. Т-подкл'!$AC$37</definedName>
    <definedName name="HEAT_TARIFF_G_DEL_HL_NETS_COLUMN_MARKER">'ТС. Т-подкл'!$AG$37</definedName>
    <definedName name="HEAT_TARIFF_G_DEL_HL_SCHEME_COLUMN_MARKER">'ТС. Т-подкл'!$P$37</definedName>
    <definedName name="HEAT_TARIFF_G_DEL_HL_TN_COLUMN_MARKER">'ТС. Т-подкл'!$R$37</definedName>
    <definedName name="HEAT_TARIFF_G_DELETE_PERIOD_ROW_MARKER">'ТС. Т-подкл'!$O$38</definedName>
    <definedName name="HEAT_TARIFF_G_FLAG_BLOCK_COLUMN_MARKER">'ТС. Т-подкл'!$L$43</definedName>
    <definedName name="HEAT_TARIFF_G_FLAG_BLOCK_ROW_MARKER">'ТС. Т-подкл'!$O$23</definedName>
    <definedName name="HEAT_TARIFF_G_NUM_CS_COLUMN_MARKER">'ТС. Т-подкл'!$G$43</definedName>
    <definedName name="HEAT_TARIFF_G_NUM_DIAMETERS_COLUMN_MARKER">'ТС. Т-подкл'!$AL$37</definedName>
    <definedName name="HEAT_TARIFF_G_NUM_GC_COLUMN_MARKER">'ТС. Т-подкл'!$J$43</definedName>
    <definedName name="HEAT_TARIFF_G_NUM_IST_TE_COLUMN_MARKER">'ТС. Т-подкл'!$H$43</definedName>
    <definedName name="HEAT_TARIFF_G_NUM_LOAD_COLUMN_MARKER">'ТС. Т-подкл'!$AD$37</definedName>
    <definedName name="HEAT_TARIFF_G_NUM_NETS_COLUMN_MARKER">'ТС. Т-подкл'!$AH$37</definedName>
    <definedName name="HEAT_TARIFF_G_NUM_NTAR_COLUMN_MARKER">'ТС. Т-подкл'!$E$43</definedName>
    <definedName name="HEAT_TARIFF_G_NUM_SCHEME_COLUMN_MARKER">'ТС. Т-подкл'!$I$43</definedName>
    <definedName name="HEAT_TARIFF_G_NUM_TER_COLUMN_MARKER">'ТС. Т-подкл'!$F$43</definedName>
    <definedName name="HEAT_TARIFF_G_NUM_TN_COLUMN_MARKER">'ТС. Т-подкл'!$K$43</definedName>
    <definedName name="HEAT_TARIFF_H_ADD_HL_COLUMN_MARKER">'ТС. Т-подкл(инд)'!$T$34</definedName>
    <definedName name="HEAT_TARIFF_H_ADD_HL_DIAMETERS_COLUMN_MARKER">'ТС. Т-подкл(инд)'!$AO$34</definedName>
    <definedName name="HEAT_TARIFF_H_ADD_HL_LOAD_COLUMN_MARKER">'ТС. Т-подкл(инд)'!$AM$34</definedName>
    <definedName name="HEAT_TARIFF_H_ADD_HL_NETS_COLUMN_MARKER">'ТС. Т-подкл(инд)'!$AN$34</definedName>
    <definedName name="HEAT_TARIFF_H_DEL_HL_DIAMETERS_COLUMN_MARKER">'ТС. Т-подкл(инд)'!$AO$34</definedName>
    <definedName name="HEAT_TARIFF_H_DEL_HL_GC_COLUMN_MARKER">'ТС. Т-подкл(инд)'!$Q$34</definedName>
    <definedName name="HEAT_TARIFF_H_DEL_HL_LOAD_COLUMN_MARKER">'ТС. Т-подкл(инд)'!$AM$34</definedName>
    <definedName name="HEAT_TARIFF_H_DEL_HL_NETS_COLUMN_MARKER">'ТС. Т-подкл(инд)'!$AN$34</definedName>
    <definedName name="HEAT_TARIFF_H_DEL_HL_SCHEME_COLUMN_MARKER">'ТС. Т-подкл(инд)'!$P$34</definedName>
    <definedName name="HEAT_TARIFF_H_DEL_HL_TN_COLUMN_MARKER">'ТС. Т-подкл(инд)'!$R$34</definedName>
    <definedName name="HEAT_TARIFF_H_DELETE_PERIOD_ROW_MARKER">'ТС. Т-подкл(инд)'!$O$35</definedName>
    <definedName name="HEAT_TARIFF_H_FLAG_BLOCK_COLUMN_MARKER">'ТС. Т-подкл(инд)'!$L$40</definedName>
    <definedName name="HEAT_TARIFF_H_FLAG_BLOCK_ROW_MARKER">'ТС. Т-подкл(инд)'!$O$20</definedName>
    <definedName name="HEAT_TARIFF_H_NUM_CS_COLUMN_MARKER">'ТС. Т-подкл(инд)'!$G$40</definedName>
    <definedName name="HEAT_TARIFF_H_NUM_DIAMETERS_COLUMN_MARKER">'ТС. Т-подкл(инд)'!$AO$34</definedName>
    <definedName name="HEAT_TARIFF_H_NUM_GC_COLUMN_MARKER">'ТС. Т-подкл(инд)'!$J$40</definedName>
    <definedName name="HEAT_TARIFF_H_NUM_IST_TE_COLUMN_MARKER">'ТС. Т-подкл(инд)'!$H$40</definedName>
    <definedName name="HEAT_TARIFF_H_NUM_LOAD_COLUMN_MARKER">'ТС. Т-подкл(инд)'!$AM$34</definedName>
    <definedName name="HEAT_TARIFF_H_NUM_NETS_COLUMN_MARKER">'ТС. Т-подкл(инд)'!$AN$34</definedName>
    <definedName name="HEAT_TARIFF_H_NUM_NTAR_COLUMN_MARKER">'ТС. Т-подкл(инд)'!$E$40</definedName>
    <definedName name="HEAT_TARIFF_H_NUM_SCHEME_COLUMN_MARKER">'ТС. Т-подкл(инд)'!$I$40</definedName>
    <definedName name="HEAT_TARIFF_H_NUM_TER_COLUMN_MARKER">'ТС. Т-подкл(инд)'!$F$40</definedName>
    <definedName name="HEAT_TARIFF_H_NUM_TN_COLUMN_MARKER">'ТС. Т-подкл(инд)'!$K$40</definedName>
    <definedName name="HEAT_TARIFF_I_1_ADD_HL_COLUMN_MARKER">'ТС. Т-ТЭ | индикат'!$T$36</definedName>
    <definedName name="HEAT_TARIFF_I_1_DEL_HL_GC_COLUMN_MARKER">'ТС. Т-ТЭ | индикат'!$Q$36</definedName>
    <definedName name="HEAT_TARIFF_I_1_DEL_HL_SCHEME_COLUMN_MARKER">'ТС. Т-ТЭ | индикат'!$P$36</definedName>
    <definedName name="HEAT_TARIFF_I_1_DEL_HL_TN_COLUMN_MARKER">'ТС. Т-ТЭ | индикат'!$R$36</definedName>
    <definedName name="HEAT_TARIFF_I_1_DELETE_PERIOD_ROW_MARKER">'ТС. Т-ТЭ | индикат'!$O$37</definedName>
    <definedName name="HEAT_TARIFF_I_1_FLAG_BLOCK_COLUMN_MARKER">'ТС. Т-ТЭ | индикат'!$L$41</definedName>
    <definedName name="HEAT_TARIFF_I_1_FLAG_BLOCK_ROW_MARKER">'ТС. Т-ТЭ | индикат'!$O$22</definedName>
    <definedName name="HEAT_TARIFF_I_1_NUM_CS_COLUMN_MARKER">'ТС. Т-ТЭ | индикат'!$G$41</definedName>
    <definedName name="HEAT_TARIFF_I_1_NUM_GC_COLUMN_MARKER">'ТС. Т-ТЭ | индикат'!$J$41</definedName>
    <definedName name="HEAT_TARIFF_I_1_NUM_IST_TE_COLUMN_MARKER">'ТС. Т-ТЭ | индикат'!$H$41</definedName>
    <definedName name="HEAT_TARIFF_I_1_NUM_NTAR_COLUMN_MARKER">'ТС. Т-ТЭ | индикат'!$E$41</definedName>
    <definedName name="HEAT_TARIFF_I_1_NUM_SCHEME_COLUMN_MARKER">'ТС. Т-ТЭ | индикат'!$I$41</definedName>
    <definedName name="HEAT_TARIFF_I_1_NUM_TER_COLUMN_MARKER">'ТС. Т-ТЭ | индикат'!$F$41</definedName>
    <definedName name="HEAT_TARIFF_I_1_NUM_TN_COLUMN_MARKER">'ТС. Т-ТЭ | индикат'!$K$41</definedName>
    <definedName name="HEAT_TARIFF_I_ADD_HL_COLUMN_MARKER">'ТС. Т-ТЭ | предел'!$T$36</definedName>
    <definedName name="HEAT_TARIFF_I_DEL_HL_GC_COLUMN_MARKER">'ТС. Т-ТЭ | предел'!$Q$36</definedName>
    <definedName name="HEAT_TARIFF_I_DEL_HL_SCHEME_COLUMN_MARKER">'ТС. Т-ТЭ | предел'!$P$36</definedName>
    <definedName name="HEAT_TARIFF_I_DEL_HL_TN_COLUMN_MARKER">'ТС. Т-ТЭ | предел'!$R$36</definedName>
    <definedName name="HEAT_TARIFF_I_DELETE_PERIOD_ROW_MARKER">'ТС. Т-ТЭ | предел'!$O$37</definedName>
    <definedName name="HEAT_TARIFF_I_FLAG_BLOCK_COLUMN_MARKER">'ТС. Т-ТЭ | предел'!$L$41</definedName>
    <definedName name="HEAT_TARIFF_I_FLAG_BLOCK_ROW_MARKER">'ТС. Т-ТЭ | предел'!$O$22</definedName>
    <definedName name="HEAT_TARIFF_I_NUM_CS_COLUMN_MARKER">'ТС. Т-ТЭ | предел'!$G$41</definedName>
    <definedName name="HEAT_TARIFF_I_NUM_GC_COLUMN_MARKER">'ТС. Т-ТЭ | предел'!$J$41</definedName>
    <definedName name="HEAT_TARIFF_I_NUM_IST_TE_COLUMN_MARKER">'ТС. Т-ТЭ | предел'!$H$41</definedName>
    <definedName name="HEAT_TARIFF_I_NUM_NTAR_COLUMN_MARKER">'ТС. Т-ТЭ | предел'!$E$41</definedName>
    <definedName name="HEAT_TARIFF_I_NUM_SCHEME_COLUMN_MARKER">'ТС. Т-ТЭ | предел'!$I$41</definedName>
    <definedName name="HEAT_TARIFF_I_NUM_TER_COLUMN_MARKER">'ТС. Т-ТЭ | предел'!$F$41</definedName>
    <definedName name="HEAT_TARIFF_I_NUM_TN_COLUMN_MARKER">'ТС. Т-ТЭ | предел'!$K$41</definedName>
    <definedName name="HOTVSNA_FIN_SRC_LIST">TEHSHEET!$BJ$4:$BJ$34</definedName>
    <definedName name="HOTVSNA_FIN_SRC_VLD_LIST">TEHSHEET!$BJ$39:$BJ$60</definedName>
    <definedName name="HOTVSNA_IP_EVENT_CI_STAGE_LIST">TEHSHEET!$BJ$97:$BJ$100</definedName>
    <definedName name="HOTVSNA_IP_EVENT_GROUP_LIST">TEHSHEET!$BJ$69:$BJ$76</definedName>
    <definedName name="HOTVSNA_IP_EVENT_SUBGROUP_1_LIST">TEHSHEET!$BJ$80:$BJ$83</definedName>
    <definedName name="HOTVSNA_IP_EVENT_SUBGROUP_3_LIST">TEHSHEET!$BJ$87:$BJ$88</definedName>
    <definedName name="HOTVSNA_IP_EVENT_SUBGROUP_5_LIST">TEHSHEET!$BJ$92:$BJ$93</definedName>
    <definedName name="HOTVSNA_IP_EVENT_TYPE_LIST">TEHSHEET!$BJ$108</definedName>
    <definedName name="HOTVSNA_PT_VED_ID">TEHSHEET!$BW$19:$BW$21</definedName>
    <definedName name="HOTVSNA_PT_VED_NAME">TEHSHEET!$BX$19:$BX$21</definedName>
    <definedName name="HOTVSNA_PT_VED_NAME_LIST">TEHSHEET!$BW$19:$BX$21</definedName>
    <definedName name="HOTVSNA_TARIFF_A_HOTVSNA_ADD_HL_COLUMN_MARKER">'ГВС. Т-гор.вода'!$T$34</definedName>
    <definedName name="HOTVSNA_TARIFF_A_HOTVSNA_DEL_HL_DATA_DIFF_COLUMN_MARKER">'ГВС. Т-гор.вода'!$R$34</definedName>
    <definedName name="HOTVSNA_TARIFF_A_HOTVSNA_DEL_HL_FLAG_DIFF_COLUMN_MARKER">'ГВС. Т-гор.вода'!$P$34</definedName>
    <definedName name="HOTVSNA_TARIFF_A_HOTVSNA_DEL_HL_GC_COLUMN_MARKER">'ГВС. Т-гор.вода'!$Q$34</definedName>
    <definedName name="HOTVSNA_TARIFF_A_HOTVSNA_DELETE_PERIOD_ROW_MARKER">'ГВС. Т-гор.вода'!$O$35</definedName>
    <definedName name="HOTVSNA_TARIFF_A_HOTVSNA_FLAG_BLOCK_COLUMN_MARKER">'ГВС. Т-гор.вода'!$L$36</definedName>
    <definedName name="HOTVSNA_TARIFF_A_HOTVSNA_FLAG_BLOCK_ROW_MARKER">'ГВС. Т-гор.вода'!$O$20</definedName>
    <definedName name="HOTVSNA_TARIFF_A_HOTVSNA_NUM_CS_COLUMN_MARKER">'ГВС. Т-гор.вода'!$G$36</definedName>
    <definedName name="HOTVSNA_TARIFF_A_HOTVSNA_NUM_DATA_DIFF_COLUMN_MARKER">'ГВС. Т-гор.вода'!$K$36</definedName>
    <definedName name="HOTVSNA_TARIFF_A_HOTVSNA_NUM_FLAG_DIFF_COLUMN_MARKER">'ГВС. Т-гор.вода'!$I$36</definedName>
    <definedName name="HOTVSNA_TARIFF_A_HOTVSNA_NUM_GC_COLUMN_MARKER">'ГВС. Т-гор.вода'!$J$36</definedName>
    <definedName name="HOTVSNA_TARIFF_A_HOTVSNA_NUM_NTAR_COLUMN_MARKER">'ГВС. Т-гор.вода'!$E$36</definedName>
    <definedName name="HOTVSNA_TARIFF_A_HOTVSNA_NUM_TER_COLUMN_MARKER">'ГВС. Т-гор.вода'!$F$36</definedName>
    <definedName name="HOTVSNA_TARIFF_B_HOTVSNA_ADD_HL_COLUMN_MARKER">'ГВС. Т-транс'!$T$34</definedName>
    <definedName name="HOTVSNA_TARIFF_B_HOTVSNA_DEL_HL_DATA_DIFF_COLUMN_MARKER">'ГВС. Т-транс'!$R$34</definedName>
    <definedName name="HOTVSNA_TARIFF_B_HOTVSNA_DEL_HL_FLAG_DIFF_COLUMN_MARKER">'ГВС. Т-транс'!$P$34</definedName>
    <definedName name="HOTVSNA_TARIFF_B_HOTVSNA_DEL_HL_GC_COLUMN_MARKER">'ГВС. Т-транс'!$Q$34</definedName>
    <definedName name="HOTVSNA_TARIFF_B_HOTVSNA_DELETE_PERIOD_ROW_MARKER">'ГВС. Т-транс'!$O$35</definedName>
    <definedName name="HOTVSNA_TARIFF_B_HOTVSNA_FLAG_BLOCK_COLUMN_MARKER">'ГВС. Т-транс'!$L$36</definedName>
    <definedName name="HOTVSNA_TARIFF_B_HOTVSNA_FLAG_BLOCK_ROW_MARKER">'ГВС. Т-транс'!$O$20</definedName>
    <definedName name="HOTVSNA_TARIFF_B_HOTVSNA_NUM_CS_COLUMN_MARKER">'ГВС. Т-транс'!$G$36</definedName>
    <definedName name="HOTVSNA_TARIFF_B_HOTVSNA_NUM_DATA_DIFF_COLUMN_MARKER">'ГВС. Т-транс'!$K$36</definedName>
    <definedName name="HOTVSNA_TARIFF_B_HOTVSNA_NUM_FLAG_DIFF_COLUMN_MARKER">'ГВС. Т-транс'!$I$36</definedName>
    <definedName name="HOTVSNA_TARIFF_B_HOTVSNA_NUM_GC_COLUMN_MARKER">'ГВС. Т-транс'!$J$36</definedName>
    <definedName name="HOTVSNA_TARIFF_B_HOTVSNA_NUM_NTAR_COLUMN_MARKER">'ГВС. Т-транс'!$E$36</definedName>
    <definedName name="HOTVSNA_TARIFF_B_HOTVSNA_NUM_TER_COLUMN_MARKER">'ГВС. Т-транс'!$F$36</definedName>
    <definedName name="HOTVSNA_TARIFF_C_HOTVSNA_ADD_HL_COLUMN_MARKER">'ГВС. Т-подкл'!$T$38</definedName>
    <definedName name="HOTVSNA_TARIFF_C_HOTVSNA_ADD_HL_DIAMETERS_COLUMN_MARKER">'ГВС. Т-подкл'!$AK$38</definedName>
    <definedName name="HOTVSNA_TARIFF_C_HOTVSNA_ADD_HL_LEN_COLUMN_MARKER">'ГВС. Т-подкл'!$AO$38</definedName>
    <definedName name="HOTVSNA_TARIFF_C_HOTVSNA_ADD_HL_LOAD_COLUMN_MARKER">'ГВС. Т-подкл'!$AG$38</definedName>
    <definedName name="HOTVSNA_TARIFF_C_HOTVSNA_ADD_HL_NETS_COLUMN_MARKER">'ГВС. Т-подкл'!$AS$38</definedName>
    <definedName name="HOTVSNA_TARIFF_C_HOTVSNA_DEL_HL_DATA_DIFF_COLUMN_MARKER">'ГВС. Т-подкл'!$R$38</definedName>
    <definedName name="HOTVSNA_TARIFF_C_HOTVSNA_DEL_HL_DIAMETERS_COLUMN_MARKER">'ГВС. Т-подкл'!$AI$38</definedName>
    <definedName name="HOTVSNA_TARIFF_C_HOTVSNA_DEL_HL_FLAG_DIFF_COLUMN_MARKER">'ГВС. Т-подкл'!$P$38</definedName>
    <definedName name="HOTVSNA_TARIFF_C_HOTVSNA_DEL_HL_GC_COLUMN_MARKER">'ГВС. Т-подкл'!$Q$38</definedName>
    <definedName name="HOTVSNA_TARIFF_C_HOTVSNA_DEL_HL_LEN_COLUMN_MARKER">'ГВС. Т-подкл'!$AM$38</definedName>
    <definedName name="HOTVSNA_TARIFF_C_HOTVSNA_DEL_HL_LOAD_COLUMN_MARKER">'ГВС. Т-подкл'!$AE$38</definedName>
    <definedName name="HOTVSNA_TARIFF_C_HOTVSNA_DEL_HL_NETS_COLUMN_MARKER">'ГВС. Т-подкл'!$AQ$38</definedName>
    <definedName name="HOTVSNA_TARIFF_C_HOTVSNA_DELETE_PERIOD_ROW_MARKER">'ГВС. Т-подкл'!$O$39</definedName>
    <definedName name="HOTVSNA_TARIFF_C_HOTVSNA_FLAG_BLOCK_COLUMN_MARKER">'ГВС. Т-подкл'!$L$44</definedName>
    <definedName name="HOTVSNA_TARIFF_C_HOTVSNA_FLAG_BLOCK_ROW_MARKER">'ГВС. Т-подкл'!$O$24</definedName>
    <definedName name="HOTVSNA_TARIFF_C_HOTVSNA_NUM_CS_COLUMN_MARKER">'ГВС. Т-подкл'!$G$44</definedName>
    <definedName name="HOTVSNA_TARIFF_C_HOTVSNA_NUM_DATA_DIFF_COLUMN_MARKER">'ГВС. Т-подкл'!$K$44</definedName>
    <definedName name="HOTVSNA_TARIFF_C_HOTVSNA_NUM_DIAMETERS_COLUMN_MARKER">'ГВС. Т-подкл'!$AJ$38</definedName>
    <definedName name="HOTVSNA_TARIFF_C_HOTVSNA_NUM_FLAG_DIFF_COLUMN_MARKER">'ГВС. Т-подкл'!$I$44</definedName>
    <definedName name="HOTVSNA_TARIFF_C_HOTVSNA_NUM_GC_COLUMN_MARKER">'ГВС. Т-подкл'!$J$44</definedName>
    <definedName name="HOTVSNA_TARIFF_C_HOTVSNA_NUM_LEN_COLUMN_MARKER">'ГВС. Т-подкл'!$AN$38</definedName>
    <definedName name="HOTVSNA_TARIFF_C_HOTVSNA_NUM_LOAD_COLUMN_MARKER">'ГВС. Т-подкл'!$AF$38</definedName>
    <definedName name="HOTVSNA_TARIFF_C_HOTVSNA_NUM_NETS_COLUMN_MARKER">'ГВС. Т-подкл'!$AR$38</definedName>
    <definedName name="HOTVSNA_TARIFF_C_HOTVSNA_NUM_NTAR_COLUMN_MARKER">'ГВС. Т-подкл'!$E$44</definedName>
    <definedName name="HOTVSNA_TARIFF_C_HOTVSNA_NUM_TER_COLUMN_MARKER">'ГВС. Т-подкл'!$F$44</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Титульный!$F$33</definedName>
    <definedName name="IP_CLAIM_LIST">TEHSHEET!$AZ$20:$AZ$26</definedName>
    <definedName name="IP_DETAILED_ADD_HL_EVENT_COLUMN_MARKER">'ИП. Детализация'!$I$7</definedName>
    <definedName name="IP_DETAILED_ADD_HL_IST_FIN_COLUMN_MARKER">'ИП. Детализация'!$AB$7</definedName>
    <definedName name="IP_DETAILED_ADD_HL_OBJECT_COLUMN_MARKER">'ИП. Детализация'!$P$7</definedName>
    <definedName name="IP_DETAILED_DATA_KS">'ИП. Детализация'!$M$7</definedName>
    <definedName name="IP_DETAILED_EVENT_MARKER">'ИП. Детализация'!$K$7:$Y$7</definedName>
    <definedName name="IP_DETAILED_EVENT_SUBGROUP_COLUMN_MARKER">'ИП. Детализация'!$J$7</definedName>
    <definedName name="IP_DETAILED_EVENT_SUBGROUP_RANGE_COLUMN_MARKER">'ИП. Детализация'!$B$7</definedName>
    <definedName name="IP_DETAILED_FLAG_KS">'ИП. Детализация'!$L$7</definedName>
    <definedName name="IP_DETAILED_FLAG_OBJECT">'ИП. Детализация'!$P$13</definedName>
    <definedName name="IP_DETAILED_GROUP_MARKER">'ИП. Детализация'!$I$7:$J$7</definedName>
    <definedName name="IP_DETAILED_IST_FIN_FACT_COLUMN_MARKER">'ИП. Детализация'!$AD$7</definedName>
    <definedName name="IP_DETAILED_LIST_IP_ID">'ИП. Детализация'!$A$14:$A$14</definedName>
    <definedName name="IP_DETAILED_MONTH_FACT_COLUMN_MARKER">'ИП. Детализация'!$AJ$7</definedName>
    <definedName name="IP_DETAILED_MONTH_PLAN_COLUMN_MARKER">'ИП. Детализация'!$AG$7</definedName>
    <definedName name="IP_DETAILED_NAME_EVENT_COLUMN_MARKER">'ИП. Детализация'!$K$7</definedName>
    <definedName name="IP_DETAILED_YEAR_FACT_COLUMN_MARKER">'ИП. Детализация'!$AK$7</definedName>
    <definedName name="IP_DETAILED_YEAR_PLAN_COLUMN_MARKER">'ИП. Детализация'!$AH$7</definedName>
    <definedName name="IP_FIN_PLAN_LIST_ID_MARKER_ROW">'ИП. Финансовый план'!$E$8</definedName>
    <definedName name="IP_FIN_PLAN_NAME_IP_MARKER_ROW">'ИП. Финансовый план'!$E$11</definedName>
    <definedName name="IP_FIN_PLAN_YEAR_MARKER_ROW">'ИП. Финансовый план'!$E$12</definedName>
    <definedName name="IP_ID">TEHSHEET!$E$58</definedName>
    <definedName name="IP_MAIN_ADD_HL_PROPERTY_COLUMN_MARKER">ИП!$AB$7</definedName>
    <definedName name="IP_MAIN_APPROVAL_DATE">ИП!$I$11:$I$13</definedName>
    <definedName name="IP_MAIN_CHANGE_DATE">ИП!$J$11:$J$13</definedName>
    <definedName name="IP_MAIN_CLAIM">ИП!$K$11:$K$13</definedName>
    <definedName name="IP_MAIN_DATE_PARKING">ИП!$L$5</definedName>
    <definedName name="IP_MAIN_DELETE_HL_COLUMN_MARKER">ИП!$E$7</definedName>
    <definedName name="IP_MAIN_DIFFERENTIATION_EVENTS_FLAG">ИП!$H$11:$H$13</definedName>
    <definedName name="IP_MAIN_END_DATE">ИП!$O$11:$O$13</definedName>
    <definedName name="IP_MAIN_FLAG_KS">ИП!$Y$11:$Y$13</definedName>
    <definedName name="IP_MAIN_FLAG_KS_COLUMN_MARKER">ИП!$Y$7</definedName>
    <definedName name="IP_MAIN_IP_FIN_PLAN_VISIBLE_FLAG">ИП!$H$15</definedName>
    <definedName name="IP_MAIN_LIST_IP_ID">ИП!$AD$11:$AD$13</definedName>
    <definedName name="IP_MAIN_LIST_NAME_IP">ИП!$G$11:$G$13</definedName>
    <definedName name="IP_MAIN_PERIOD_REALIZ_DATE">ИП!$P$11:$P$13</definedName>
    <definedName name="IP_MAIN_PR_IP_CHANGE_DATE">ИП!$X$11:$X$13</definedName>
    <definedName name="IP_MAIN_PR_IP_DATE">ИП!$T$11:$T$13</definedName>
    <definedName name="IP_MAIN_PR_IP_NAME">ИП!$Q$11:$Q$13</definedName>
    <definedName name="IP_MAIN_PR_IP_NUMBER">ИП!$S$11:$S$13</definedName>
    <definedName name="IP_MAIN_PR_IP_TYPE">ИП!$R$11:$R$13</definedName>
    <definedName name="IP_MAIN_START_DATE">ИП!$N$11:$N$13</definedName>
    <definedName name="IP_NAME_FORM">DATA_FORMS!$C$32</definedName>
    <definedName name="IP_QRE_ADD_HL_CLAIM_COLUMN_MARKER">'ИП. КНЭ'!$G$7</definedName>
    <definedName name="IP_QRE_ADD_HL_COLUMN_MARKER">'ИП. КНЭ'!$G$8</definedName>
    <definedName name="IP_QRE_DELETE_HL_COLUMN_MARKER">'ИП. КНЭ'!$E$8</definedName>
    <definedName name="IP_QRE_LIST_IP_ID">'ИП. КНЭ'!$A$18:$A$20</definedName>
    <definedName name="IP_QRE_NUM_COLUMN_MARKER">'ИП. КНЭ'!$F$8</definedName>
    <definedName name="IP_QRE_OTKO_FEATURES_BLOCK">'ИП. КНЭ'!$DY$8</definedName>
    <definedName name="IP_QRE_VOTV_FEATURES_BLOCK">'ИП. КНЭ'!$CY$8:$DX$8</definedName>
    <definedName name="IP_QRE_VSNA_FEATURES_BLOCK">'ИП. КНЭ'!$BT$8:$CX$8</definedName>
    <definedName name="IP_QRE_WARM_FEATURES_BLOCK">'ИП. КНЭ'!$O$8:$BS$8</definedName>
    <definedName name="IST_TE_ID">TEHSHEET!$E$64</definedName>
    <definedName name="kind_group_rates">TEHSHEET!$X$2:$X$14</definedName>
    <definedName name="kind_group_rates_load">TEHSHEET!$AP$2:$AP$11</definedName>
    <definedName name="kind_group_rates_load_ETS">TEHSHEET!$AP$2:$AP$11</definedName>
    <definedName name="kind_group_rates_load_filter">TEHSHEET!$AQ$2:$AQ$11</definedName>
    <definedName name="kind_group_rates_load_filter_ETS">TEHSHEET!$AQ$2:$AQ$11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uel">TEHSHEET!$AK$2:$AK$9</definedName>
    <definedName name="kind_of_fuels">TEHSHEET!$BB$2:$BB$29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DS">TEHSHEET!$H$2:$H$8</definedName>
    <definedName name="kind_of_NDS_tariff">TEHSHEET!$H$10:$H$11</definedName>
    <definedName name="kind_of_NDS_tariff_people">TEHSHEET!$H$16:$H$17</definedName>
    <definedName name="kind_of_nets">TEHSHEET!$S$2:$S$4</definedName>
    <definedName name="kind_of_org_type">TEHSHEET!$AZ$2:$AZ$5</definedName>
    <definedName name="kind_of_power_te_unit">TEHSHEET!$J$11:$J$12</definedName>
    <definedName name="kind_of_publication">TEHSHEET!$G$2:$G$3</definedName>
    <definedName name="kind_of_purchase_method">TEHSHEET!$K$11:$K$13</definedName>
    <definedName name="kind_of_scheme_in">TEHSHEET!$Q$2:$Q$5</definedName>
    <definedName name="kind_of_scheme_in2">TEHSHEET!$Q$3:$Q$5</definedName>
    <definedName name="kind_of_tariff_RHEAT">TEHSHEET!$E$19:$E$20</definedName>
    <definedName name="kind_of_tariff_unit">TEHSHEET!$J$7:$J$8</definedName>
    <definedName name="kind_of_unit">TEHSHEET!$J$2:$J$4</definedName>
    <definedName name="kind_of_volume_te_unit">TEHSHEET!$J$15:$J$16</definedName>
    <definedName name="kind_of_zak">TEHSHEET!$AM$2:$AM$7</definedName>
    <definedName name="KNE_NAME_FORM">DATA_FORMS!$C$8</definedName>
    <definedName name="kpp">Титульный!$F$34</definedName>
    <definedName name="LINK_RANGE">REESTR_LINK!$B$2:$B$3</definedName>
    <definedName name="List_H">TEHSHEET!$AW$2:$AW$25</definedName>
    <definedName name="List_M">TEHSHEET!$AX$2:$AX$61</definedName>
    <definedName name="LIST_MR_MO_OKTMO">REESTR_MO!$A$2:$D$709</definedName>
    <definedName name="LIST_MR_MO_OKTMO_FILTER">REESTR_MO_FILTER!$A$2:$D$708</definedName>
    <definedName name="ListForms">modSheetMain!$A:$A</definedName>
    <definedName name="logical">TEHSHEET!$D$2:$D$3</definedName>
    <definedName name="MONTH">TEHSHEET!$E$2:$E$13</definedName>
    <definedName name="MONTH_IP_LIST">TEHSHEET!$BF$2:$BF$13</definedName>
    <definedName name="nalog">Титульный!$F$37</definedName>
    <definedName name="name_rates_4">TEHSHEET!$AA$2:$AA$3</definedName>
    <definedName name="name_rates_4_filter">TEHSHEET!$AB$2:$AB$3</definedName>
    <definedName name="name_rates_8">TEHSHEET!$AC$2:$AC$4</definedName>
    <definedName name="name_rates_8_filter">TEHSHEET!$AD$2:$AD$4</definedName>
    <definedName name="NameTemplatesInListMO">TEHSHEET!$K$45</definedName>
    <definedName name="NameTemplatesInTitle">TEHSHEET!$J$45</definedName>
    <definedName name="NameTemplatesInTitleList">TEHSHEET!$J$46:$J$53</definedName>
    <definedName name="NTAR_ID">TEHSHEET!$E$61</definedName>
    <definedName name="OFFER_DPR">Предложение!$L$99</definedName>
    <definedName name="OFFER_METHOD">Предложение!$K$24:$K$97</definedName>
    <definedName name="OFFER_METHOD_FLAG">TEHSHEET!$L$6</definedName>
    <definedName name="OFFER_TARIFF_A_1">Предложение!$24:$26</definedName>
    <definedName name="OFFER_TARIFF_A_2">Предложение!$101:$103</definedName>
    <definedName name="OFFER_TARIFF_A_3">Предложение!$176:$178</definedName>
    <definedName name="OFFER_TARIFF_A_4">Предложение!$251:$253</definedName>
    <definedName name="OFFER_TARIFF_A_5">Предложение!$326:$328</definedName>
    <definedName name="OFFER_TARIFF_A_COLDVSNA_1">Предложение!$65:$67</definedName>
    <definedName name="OFFER_TARIFF_A_COLDVSNA_2">Предложение!$142:$144</definedName>
    <definedName name="OFFER_TARIFF_A_COLDVSNA_3">Предложение!$217:$219</definedName>
    <definedName name="OFFER_TARIFF_A_COLDVSNA_4">Предложение!$292:$294</definedName>
    <definedName name="OFFER_TARIFF_A_COLDVSNA_5">Предложение!$367:$369</definedName>
    <definedName name="OFFER_TARIFF_A_HOTVSNA_1">Предложение!$80:$82</definedName>
    <definedName name="OFFER_TARIFF_A_HOTVSNA_2">Предложение!$157:$159</definedName>
    <definedName name="OFFER_TARIFF_A_HOTVSNA_3">Предложение!$232:$234</definedName>
    <definedName name="OFFER_TARIFF_A_HOTVSNA_4">Предложение!$307:$309</definedName>
    <definedName name="OFFER_TARIFF_A_HOTVSNA_5">Предложение!$382:$384</definedName>
    <definedName name="OFFER_TARIFF_A_VOTV_1">Предложение!$89:$91</definedName>
    <definedName name="OFFER_TARIFF_A_VOTV_2">Предложение!$166:$168</definedName>
    <definedName name="OFFER_TARIFF_A_VOTV_3">Предложение!$241:$243</definedName>
    <definedName name="OFFER_TARIFF_A_VOTV_4">Предложение!$316:$318</definedName>
    <definedName name="OFFER_TARIFF_A_VOTV_5">Предложение!$391:$393</definedName>
    <definedName name="OFFER_TARIFF_B_1">Предложение!$27:$43</definedName>
    <definedName name="OFFER_TARIFF_B_2">Предложение!$104:$120</definedName>
    <definedName name="OFFER_TARIFF_B_3">Предложение!$179:$195</definedName>
    <definedName name="OFFER_TARIFF_B_4">Предложение!$254:$270</definedName>
    <definedName name="OFFER_TARIFF_B_5">Предложение!$329:$345</definedName>
    <definedName name="OFFER_TARIFF_B_COLDVSNA_1">Предложение!$68:$70</definedName>
    <definedName name="OFFER_TARIFF_B_COLDVSNA_2">Предложение!$145:$147</definedName>
    <definedName name="OFFER_TARIFF_B_COLDVSNA_3">Предложение!$220:$222</definedName>
    <definedName name="OFFER_TARIFF_B_COLDVSNA_4">Предложение!$295:$297</definedName>
    <definedName name="OFFER_TARIFF_B_COLDVSNA_5">Предложение!$370:$372</definedName>
    <definedName name="OFFER_TARIFF_B_HOTVSNA_1">Предложение!$83:$85</definedName>
    <definedName name="OFFER_TARIFF_B_HOTVSNA_2">Предложение!$160:$162</definedName>
    <definedName name="OFFER_TARIFF_B_HOTVSNA_3">Предложение!$235:$237</definedName>
    <definedName name="OFFER_TARIFF_B_HOTVSNA_4">Предложение!$310:$312</definedName>
    <definedName name="OFFER_TARIFF_B_HOTVSNA_5">Предложение!$385:$387</definedName>
    <definedName name="OFFER_TARIFF_B_VOTV_1">Предложение!$92:$94</definedName>
    <definedName name="OFFER_TARIFF_B_VOTV_2">Предложение!$169:$171</definedName>
    <definedName name="OFFER_TARIFF_B_VOTV_3">Предложение!$244:$246</definedName>
    <definedName name="OFFER_TARIFF_B_VOTV_4">Предложение!$319:$321</definedName>
    <definedName name="OFFER_TARIFF_B_VOTV_5">Предложение!$394:$396</definedName>
    <definedName name="OFFER_TARIFF_C_1">Предложение!$44:$46</definedName>
    <definedName name="OFFER_TARIFF_C_2">Предложение!$121:$123</definedName>
    <definedName name="OFFER_TARIFF_C_3">Предложение!$196:$198</definedName>
    <definedName name="OFFER_TARIFF_C_4">Предложение!$271:$273</definedName>
    <definedName name="OFFER_TARIFF_C_5">Предложение!$346:$348</definedName>
    <definedName name="OFFER_TARIFF_C_COLDVSNA_1">Предложение!$71:$73</definedName>
    <definedName name="OFFER_TARIFF_C_COLDVSNA_2">Предложение!$148:$150</definedName>
    <definedName name="OFFER_TARIFF_C_COLDVSNA_3">Предложение!$223:$225</definedName>
    <definedName name="OFFER_TARIFF_C_COLDVSNA_4">Предложение!$298:$300</definedName>
    <definedName name="OFFER_TARIFF_C_COLDVSNA_5">Предложение!$373:$375</definedName>
    <definedName name="OFFER_TARIFF_C_HOTVSNA_1">Предложение!$86:$88</definedName>
    <definedName name="OFFER_TARIFF_C_HOTVSNA_2">Предложение!$163:$165</definedName>
    <definedName name="OFFER_TARIFF_C_HOTVSNA_3">Предложение!$238:$240</definedName>
    <definedName name="OFFER_TARIFF_C_HOTVSNA_4">Предложение!$313:$315</definedName>
    <definedName name="OFFER_TARIFF_C_HOTVSNA_5">Предложение!$388:$390</definedName>
    <definedName name="OFFER_TARIFF_C_VOTV_1">Предложение!$95:$97</definedName>
    <definedName name="OFFER_TARIFF_C_VOTV_2">Предложение!$172:$174</definedName>
    <definedName name="OFFER_TARIFF_C_VOTV_3">Предложение!$247:$249</definedName>
    <definedName name="OFFER_TARIFF_C_VOTV_4">Предложение!$322:$324</definedName>
    <definedName name="OFFER_TARIFF_C_VOTV_5">Предложение!$397:$399</definedName>
    <definedName name="OFFER_TARIFF_D_1">Предложение!$47:$49</definedName>
    <definedName name="OFFER_TARIFF_D_2">Предложение!$124:$126</definedName>
    <definedName name="OFFER_TARIFF_D_3">Предложение!$199:$201</definedName>
    <definedName name="OFFER_TARIFF_D_4">Предложение!$274:$276</definedName>
    <definedName name="OFFER_TARIFF_D_5">Предложение!$349:$351</definedName>
    <definedName name="OFFER_TARIFF_D_COLDVSNA_1">Предложение!$74:$76</definedName>
    <definedName name="OFFER_TARIFF_D_COLDVSNA_2">Предложение!$151:$153</definedName>
    <definedName name="OFFER_TARIFF_D_COLDVSNA_3">Предложение!$226:$228</definedName>
    <definedName name="OFFER_TARIFF_D_COLDVSNA_4">Предложение!$301:$303</definedName>
    <definedName name="OFFER_TARIFF_D_COLDVSNA_5">Предложение!$376:$378</definedName>
    <definedName name="OFFER_TARIFF_E_COLDVSNA_1">Предложение!$77:$79</definedName>
    <definedName name="OFFER_TARIFF_E_COLDVSNA_2">Предложение!$154:$156</definedName>
    <definedName name="OFFER_TARIFF_E_COLDVSNA_3">Предложение!$229:$231</definedName>
    <definedName name="OFFER_TARIFF_E_COLDVSNA_4">Предложение!$304:$306</definedName>
    <definedName name="OFFER_TARIFF_E_COLDVSNA_5">Предложение!$379:$381</definedName>
    <definedName name="OFFER_TARIFF_E1_1">Предложение!$50:$52</definedName>
    <definedName name="OFFER_TARIFF_E1_2">Предложение!$127:$129</definedName>
    <definedName name="OFFER_TARIFF_E1_3">Предложение!$202:$204</definedName>
    <definedName name="OFFER_TARIFF_E1_4">Предложение!$277:$279</definedName>
    <definedName name="OFFER_TARIFF_E1_5">Предложение!$352:$354</definedName>
    <definedName name="OFFER_TARIFF_E2_1">Предложение!$53:$55</definedName>
    <definedName name="OFFER_TARIFF_E2_2">Предложение!$130:$132</definedName>
    <definedName name="OFFER_TARIFF_E2_3">Предложение!$205:$207</definedName>
    <definedName name="OFFER_TARIFF_E2_4">Предложение!$280:$282</definedName>
    <definedName name="OFFER_TARIFF_E2_5">Предложение!$355:$357</definedName>
    <definedName name="OFFER_TARIFF_F_1">Предложение!$56:$58</definedName>
    <definedName name="OFFER_TARIFF_F_2">Предложение!$133:$135</definedName>
    <definedName name="OFFER_TARIFF_F_3">Предложение!$208:$210</definedName>
    <definedName name="OFFER_TARIFF_F_4">Предложение!$283:$285</definedName>
    <definedName name="OFFER_TARIFF_F_5">Предложение!$358:$360</definedName>
    <definedName name="OFFER_TARIFF_G_1">Предложение!$59:$61</definedName>
    <definedName name="OFFER_TARIFF_G_2">Предложение!$136:$138</definedName>
    <definedName name="OFFER_TARIFF_G_3">Предложение!$211:$213</definedName>
    <definedName name="OFFER_TARIFF_G_4">Предложение!$286:$288</definedName>
    <definedName name="OFFER_TARIFF_G_5">Предложение!$361:$363</definedName>
    <definedName name="OFFER_TARIFF_H_1">Предложение!$62:$64</definedName>
    <definedName name="org">Титульный!$F$31</definedName>
    <definedName name="Org_Address">Титульный!$F$64:$F$64</definedName>
    <definedName name="ORG_END_DATE">TEHSHEET!$F$29</definedName>
    <definedName name="ORG_INFO_DATE_OGRN">'Общая информация об организации'!$F$17</definedName>
    <definedName name="ORG_INFO_DATE_PARKING">'Общая информация об организации'!$G$4</definedName>
    <definedName name="ORG_INFO_DATE_UNI_TS">'Общая информация об организации'!$F$21</definedName>
    <definedName name="ORG_INFO_EMAIL">'Общая информация об организации'!$F$44</definedName>
    <definedName name="ORG_INFO_ET">'Общая информация об организации'!$F$20:$F$24</definedName>
    <definedName name="ORG_INFO_ET_CYAN">'Общая информация об организации'!$F$20:$F$23</definedName>
    <definedName name="ORG_INFO_FLAG_INVEST">'Общая информация об организации'!$F$51</definedName>
    <definedName name="ORG_INFO_NAME_FORM">DATA_FORMS!$C$4</definedName>
    <definedName name="ORG_INFO_P_NOTE_MAIN">DATA_NPA!$N$3</definedName>
    <definedName name="ORG_INFO_RESP_EMAIL">'Общая информация об организации'!$F$32</definedName>
    <definedName name="ORG_INFO_URL">'Общая информация об организации'!$F$43</definedName>
    <definedName name="Org_main">Титульный!$F$65</definedName>
    <definedName name="ORG_START_DATE">TEHSHEET!$E$29</definedName>
    <definedName name="ORG_TERRITORY_FIRST_MO">'Сведения по территориям'!$G$12</definedName>
    <definedName name="ORG_TERRITORY_FLAG_INTERNET">'Сведения по территориям'!$J$11:$J$13</definedName>
    <definedName name="ORG_TERRITORY_LINK">'Сведения по территориям'!$K$11:$K$13</definedName>
    <definedName name="ORG_TERRITORY_NAME_COL">'Сведения по территориям'!$G$1:$I$1</definedName>
    <definedName name="ORG_TERRITORY_POINT_NUMBER_1">'Сведения по территориям'!$A:$A</definedName>
    <definedName name="ORG_VD_EM">'Общая информация по ВД'!$K$11:$K$13</definedName>
    <definedName name="ORG_VD_FIRST_ROW">'Общая информация по ВД'!$12:$12</definedName>
    <definedName name="ORG_VD_FIRST_SYSTEM">'Общая информация по ВД'!$E$12</definedName>
    <definedName name="ORG_VD_NAME_FORM">DATA_FORMS!$C$31</definedName>
    <definedName name="ORG_VD_SYSTEM">'Общая информация по ВД'!$E$11:$E$13</definedName>
    <definedName name="ORG_VD_TKO_ADD_HL_ACTIVITY_COLUMN_MARKER">'Виды объектов'!$E$9</definedName>
    <definedName name="ORG_VD_TKO_ADD_HL_TYPE_OBJECT_COLUMN_MARKER">'Виды объектов'!$H$9</definedName>
    <definedName name="ORG_VD_TKO_DEL_HL_ACTIVITY_COLUMN_MARKER">'Виды объектов'!$C$9</definedName>
    <definedName name="ORG_VD_TKO_DEL_HL_TYPE_OBJECT_COLUMN_MARKER">'Виды объектов'!$F$9</definedName>
    <definedName name="ORG_VD_TKO_VD">'Виды объектов'!$E$13:$E$16</definedName>
    <definedName name="ORG_VD_TKO_VD_ID">'Виды объектов'!$O$13:$O$16</definedName>
    <definedName name="ORG_VD_VD">'Общая информация по ВД'!$F$11:$F$13</definedName>
    <definedName name="ORG_VD_VD_ID">'Общая информация по ВД'!$AM$11:$AM$13</definedName>
    <definedName name="OTKO_FIN_SRC_LIST">TEHSHEET!$BN$4:$BN$18</definedName>
    <definedName name="OTKO_FIN_SRC_VLD_LIST">TEHSHEET!$BN$39:$BN$48</definedName>
    <definedName name="OTKO_IP_EVENT_CI_STAGE_LIST">TEHSHEET!$BN$97:$BN$104</definedName>
    <definedName name="OTKO_IP_EVENT_GROUP_LIST">TEHSHEET!$BN$69:$BN$74</definedName>
    <definedName name="OTKO_IP_EVENT_TYPE_LIST">TEHSHEET!$BN$108</definedName>
    <definedName name="otv_lico_name">Титульный!$F$67:$F$70</definedName>
    <definedName name="P_T_TERMS_LINK">Договоры!$F$12:$F$22</definedName>
    <definedName name="pCng_P_T_TERMS_1">Договоры!$E$14:$E$15</definedName>
    <definedName name="pCng_P_T_TERMS_2">Договоры!$E$17:$E$18</definedName>
    <definedName name="pCng_P_T_TERMS_3">Договоры!$E$21:$E$22</definedName>
    <definedName name="pCng_P_T_TERMS_4">Договоры!$E$25:$E$26</definedName>
    <definedName name="pDel_B_STANDARTS">'Стандарты качества'!$H$12:$H$13</definedName>
    <definedName name="pDel_CHANGE_INFO">'Сведения об изменении'!$C$12:$C$13</definedName>
    <definedName name="pDel_Comm">Комментарии!$C$11:$C$12</definedName>
    <definedName name="pDel_DIFFERENTIATION_AREA">Дифференциация!$G$12:$G$16</definedName>
    <definedName name="pDel_DIFFERENTIATION_SYSTEM">Дифференциация!$K$12:$K$16</definedName>
    <definedName name="pDel_DIFFERENTIATION_VD">Дифференциация!$C$12:$C$16</definedName>
    <definedName name="pDel_ED">ЭД!$C$12:$C$13</definedName>
    <definedName name="pDel_IP_DETAILED_EVENT">'ИП. Детализация'!$G$13</definedName>
    <definedName name="pDel_IP_DETAILED_IST_FIN">'ИП. Детализация'!$Z$13</definedName>
    <definedName name="pDel_IP_DETAILED_OBJECT">'ИП. Детализация'!$N$13</definedName>
    <definedName name="pDel_IP_MAIN">ИП!$E$11:$E$13</definedName>
    <definedName name="pDel_IP_MAIN_PROPERTY">ИП!$Z$11:$Z$13</definedName>
    <definedName name="pDel_IP_QRE_CLAIM">'ИП. КНЭ'!$E$18:$E$20</definedName>
    <definedName name="pDel_List07">'Сведения об изменении'!$C$11:$C$13</definedName>
    <definedName name="pDel_LT_AREA">'Список территорий'!$C$12:$C$15</definedName>
    <definedName name="pDel_LT_MO">'Список территорий'!$D$11:$D$15</definedName>
    <definedName name="pDel_ORG_INFO">'Общая информация об организации'!$C$40:$C$50</definedName>
    <definedName name="pDel_ORG_TERRITORY">'Сведения по территориям'!$D$11:$D$13</definedName>
    <definedName name="pDel_ORG_VD">'Общая информация по ВД'!$C$11:$C$13</definedName>
    <definedName name="pDel_P_PROCEDURE_TC">'Порядок ТП'!$C$26:$C$40</definedName>
    <definedName name="pDel_P_T_TERMS">Договоры!$C$14:$C$26</definedName>
    <definedName name="pDel_Q_LIMIT">Ограничения!$C$31</definedName>
    <definedName name="pDel_Q_TP">ТП!$C$14</definedName>
    <definedName name="pDel_R_B_Purch">'Сведения о закупках'!$C$13:$C$14</definedName>
    <definedName name="periodEnd">Титульный!$F$12</definedName>
    <definedName name="PeriodIsEmpty">TEHSHEET!$I$45</definedName>
    <definedName name="PeriodIsEmptyList">TEHSHEET!$I$46:$I$53</definedName>
    <definedName name="periodStart">Титульный!$F$11</definedName>
    <definedName name="pHeader_B_FHD">'Показатели ФХД'!$29:$29</definedName>
    <definedName name="pHeader_B_FHD_TKO">'ТКО. Показатели ФХД'!$14:$14</definedName>
    <definedName name="pHeader_B_FHD_TKO_TRANS">'ТКО. Транс. Показатели ФХД'!$14:$14</definedName>
    <definedName name="pHeader_B_KNE">'Показатели КНЭ'!$11:$11</definedName>
    <definedName name="pHeader_B_OTEP">'Показатели ОТЭП'!$14:$14</definedName>
    <definedName name="pHeader_Q_LIMIT">Ограничения!$30:$30</definedName>
    <definedName name="pHeader_Q_PH">'Потребительские характеристики'!$13:$13</definedName>
    <definedName name="pHeader_Q_TP">ТП!$13:$13</definedName>
    <definedName name="pHeader_ver_B_FHD">'Показатели ФХД'!$C:$C</definedName>
    <definedName name="pHeader_ver_B_FHD_TKO">'ТКО. Показатели ФХД'!$C:$C</definedName>
    <definedName name="pHeader_ver_B_FHD_TKO_TRANS">'ТКО. Транс. Показатели ФХД'!$C:$C</definedName>
    <definedName name="pHeader_ver_B_KNE">'Показатели КНЭ'!$B:$B</definedName>
    <definedName name="pHeader_ver_B_OTEP">'Показатели ОТЭП'!$G:$G</definedName>
    <definedName name="pHeader_ver_P_PROCEDURE_TC">'Порядок ТП'!$A$21:$A$40</definedName>
    <definedName name="pHeader_ver_Q_LIMIT">Ограничения!$E:$E</definedName>
    <definedName name="pIns_B_FHD_1">'Показатели ФХД'!$F$40</definedName>
    <definedName name="pIns_B_FHD_2">'Показатели ФХД'!$F$71</definedName>
    <definedName name="pIns_B_FHD_3">'Показатели ФХД'!$F$101</definedName>
    <definedName name="pIns_B_FHD_4">'Показатели ФХД'!$F$119</definedName>
    <definedName name="pIns_B_FHD_5">'Показатели ФХД'!$F$122</definedName>
    <definedName name="pIns_B_FHD_6">'Показатели ФХД'!$F$125</definedName>
    <definedName name="pIns_B_FHD_DIFFERENTIATION">'Показатели ФХД'!$J$24</definedName>
    <definedName name="pIns_B_FHD_TKO_2">'ТКО. Показатели ФХД'!$F$34</definedName>
    <definedName name="pIns_B_FHD_TKO_DIFFERENTIATION">'ТКО. Показатели ФХД'!$J$9</definedName>
    <definedName name="pIns_B_FHD_TKO_TRANS_2">'ТКО. Транс. Показатели ФХД'!$F$29</definedName>
    <definedName name="pIns_B_FHD_TKO_TRANS_DIFFERENTIATION">'ТКО. Транс. Показатели ФХД'!$J$9</definedName>
    <definedName name="pIns_B_FHD20_DIFFERENTIATION">'Показатели ФХД &gt;20%'!$D$23</definedName>
    <definedName name="pIns_B_KNE_DIFFERENTIATION">'Показатели КНЭ'!$K$6</definedName>
    <definedName name="pIns_B_OTEP_2">'Показатели ОТЭП'!$J$18</definedName>
    <definedName name="pIns_B_OTEP_DIFFERENTIATION">'Показатели ОТЭП'!$N$9</definedName>
    <definedName name="pIns_B_STANDARTS">'Стандарты качества'!$J$13</definedName>
    <definedName name="pIns_CHANGE_INFO">'Сведения об изменении'!$E$13</definedName>
    <definedName name="pIns_Comm">Комментарии!$E$12</definedName>
    <definedName name="pIns_ED">ЭД!$E$13</definedName>
    <definedName name="pIns_IP_DETAILED">'ИП. Детализация'!$F$14</definedName>
    <definedName name="pIns_IP_FIN_PLAN">'ИП. Финансовый план'!$K$8</definedName>
    <definedName name="pIns_IP_MAIN">ИП!$G$13</definedName>
    <definedName name="pIns_IP_QRE">'ИП. КНЭ'!$F$21</definedName>
    <definedName name="pIns_List07">'Сведения об изменении'!$E$13</definedName>
    <definedName name="pIns_LT_AREA">'Список территорий'!$G$15</definedName>
    <definedName name="pIns_ORG_INFO_1">'Общая информация об организации'!$E$42</definedName>
    <definedName name="pIns_ORG_INFO_2">'Общая информация об организации'!$E$50</definedName>
    <definedName name="pIns_ORG_INFO_3">'Общая информация об организации'!$E$24</definedName>
    <definedName name="pIns_ORG_TERRITORY">'Сведения по территориям'!$G$13</definedName>
    <definedName name="pIns_ORG_VD_1">'Общая информация по ВД'!$E$13</definedName>
    <definedName name="pIns_ORG_VD_2">'Общая информация по ВД'!$F$13</definedName>
    <definedName name="pIns_ORG_VD_TKO_1">'Виды объектов'!$E$16</definedName>
    <definedName name="pIns_P_PROCEDURE_TC_1">'Порядок ТП'!$E$27</definedName>
    <definedName name="pIns_P_PROCEDURE_TC_2">'Порядок ТП'!$E$30</definedName>
    <definedName name="pIns_P_PROCEDURE_TC_3">'Порядок ТП'!$E$34</definedName>
    <definedName name="pIns_P_PROCEDURE_TC_4">'Порядок ТП'!$E$37</definedName>
    <definedName name="pIns_P_PROCEDURE_TC_5">'Порядок ТП'!$E$40</definedName>
    <definedName name="pIns_P_T_TERMS_1">Договоры!$E$15</definedName>
    <definedName name="pIns_P_T_TERMS_2">Договоры!$E$18</definedName>
    <definedName name="pIns_P_T_TERMS_3">Договоры!$E$22</definedName>
    <definedName name="pIns_P_T_TERMS_4">Договоры!$E$26</definedName>
    <definedName name="pIns_PT_VTAR_A">'ТС. Т-ТЭ | &gt;=25МВт'!$T$57</definedName>
    <definedName name="pIns_PT_VTAR_A_COLDVSNA">'ХВС. Т-пит'!$T$53</definedName>
    <definedName name="pIns_PT_VTAR_A_COLDVSNA_OFFER_1">Предложение!$G$67</definedName>
    <definedName name="pIns_PT_VTAR_A_COLDVSNA_OFFER_2">Предложение!$G$144</definedName>
    <definedName name="pIns_PT_VTAR_A_COLDVSNA_OFFER_3">Предложение!$G$219</definedName>
    <definedName name="pIns_PT_VTAR_A_COLDVSNA_OFFER_4">Предложение!$G$294</definedName>
    <definedName name="pIns_PT_VTAR_A_COLDVSNA_OFFER_5">Предложение!$G$369</definedName>
    <definedName name="pIns_PT_VTAR_A_COLDVSNA_OFFER5">Предложение!$G$369</definedName>
    <definedName name="pIns_PT_VTAR_A_HOTVSNA">'ГВС. Т-гор.вода'!$T$54</definedName>
    <definedName name="pIns_PT_VTAR_A_HOTVSNA_OFFER_1">Предложение!$G$82</definedName>
    <definedName name="pIns_PT_VTAR_A_HOTVSNA_OFFER_2">Предложение!$G$159</definedName>
    <definedName name="pIns_PT_VTAR_A_HOTVSNA_OFFER_3">Предложение!$G$234</definedName>
    <definedName name="pIns_PT_VTAR_A_HOTVSNA_OFFER_4">Предложение!$G$309</definedName>
    <definedName name="pIns_PT_VTAR_A_HOTVSNA_OFFER_5">Предложение!$G$384</definedName>
    <definedName name="pIns_PT_VTAR_A_OFFER_1">Предложение!$G$26</definedName>
    <definedName name="pIns_PT_VTAR_A_OFFER_2">Предложение!$G$103</definedName>
    <definedName name="pIns_PT_VTAR_A_OFFER_3">Предложение!$G$178</definedName>
    <definedName name="pIns_PT_VTAR_A_OFFER_4">Предложение!$G$253</definedName>
    <definedName name="pIns_PT_VTAR_A_OFFER_5">Предложение!$G$328</definedName>
    <definedName name="pIns_PT_VTAR_A_VOTV">'ВО. Т-во'!$T$53</definedName>
    <definedName name="pIns_PT_VTAR_A_VOTV_OFFER_1">Предложение!$G$91</definedName>
    <definedName name="pIns_PT_VTAR_A_VOTV_OFFER_2">Предложение!$G$168</definedName>
    <definedName name="pIns_PT_VTAR_A_VOTV_OFFER_3">Предложение!$G$243</definedName>
    <definedName name="pIns_PT_VTAR_A_VOTV_OFFER_4">Предложение!$G$318</definedName>
    <definedName name="pIns_PT_VTAR_A_VOTV_OFFER_5">Предложение!$G$393</definedName>
    <definedName name="pIns_PT_VTAR_B">'ТС. Т-ТЭ | ТСО'!$T$163</definedName>
    <definedName name="pIns_PT_VTAR_B_COLDVSNA">'ХВС. Т-тех'!$T$53</definedName>
    <definedName name="pIns_PT_VTAR_B_COLDVSNA_OFFER_1">Предложение!$G$70</definedName>
    <definedName name="pIns_PT_VTAR_B_COLDVSNA_OFFER_2">Предложение!$G$147</definedName>
    <definedName name="pIns_PT_VTAR_B_COLDVSNA_OFFER_3">Предложение!$G$222</definedName>
    <definedName name="pIns_PT_VTAR_B_COLDVSNA_OFFER_4">Предложение!$G$297</definedName>
    <definedName name="pIns_PT_VTAR_B_COLDVSNA_OFFER_5">Предложение!$G$372</definedName>
    <definedName name="pIns_PT_VTAR_B_HOTVSNA">'ГВС. Т-транс'!$T$54</definedName>
    <definedName name="pIns_PT_VTAR_B_HOTVSNA_OFFER_1">Предложение!$G$85</definedName>
    <definedName name="pIns_PT_VTAR_B_HOTVSNA_OFFER_2">Предложение!$G$162</definedName>
    <definedName name="pIns_PT_VTAR_B_HOTVSNA_OFFER_3">Предложение!$G$237</definedName>
    <definedName name="pIns_PT_VTAR_B_HOTVSNA_OFFER_4">Предложение!$G$312</definedName>
    <definedName name="pIns_PT_VTAR_B_HOTVSNA_OFFER_5">Предложение!$G$387</definedName>
    <definedName name="pIns_PT_VTAR_B_OFFER_1">Предложение!$G$43</definedName>
    <definedName name="pIns_PT_VTAR_B_OFFER_2">Предложение!$G$120</definedName>
    <definedName name="pIns_PT_VTAR_B_OFFER_3">Предложение!$G$195</definedName>
    <definedName name="pIns_PT_VTAR_B_OFFER_4">Предложение!$G$270</definedName>
    <definedName name="pIns_PT_VTAR_B_OFFER_5">Предложение!$G$345</definedName>
    <definedName name="pIns_PT_VTAR_B_VOTV">'ВО. Т-транс'!$T$53</definedName>
    <definedName name="pIns_PT_VTAR_B_VOTV_OFFER_1">Предложение!$G$94</definedName>
    <definedName name="pIns_PT_VTAR_B_VOTV_OFFER_2">Предложение!$G$171</definedName>
    <definedName name="pIns_PT_VTAR_B_VOTV_OFFER_3">Предложение!$G$246</definedName>
    <definedName name="pIns_PT_VTAR_B_VOTV_OFFER_4">Предложение!$G$321</definedName>
    <definedName name="pIns_PT_VTAR_B_VOTV_OFFER_5">Предложение!$G$396</definedName>
    <definedName name="pIns_PT_VTAR_C">'ТС. Т-ТН'!$T$57</definedName>
    <definedName name="pIns_PT_VTAR_C_COLDVSNA">'ХВС. Т-транс'!$T$53</definedName>
    <definedName name="pIns_PT_VTAR_C_COLDVSNA_OFFER_1">Предложение!$G$73</definedName>
    <definedName name="pIns_PT_VTAR_C_COLDVSNA_OFFER_2">Предложение!$G$150</definedName>
    <definedName name="pIns_PT_VTAR_C_COLDVSNA_OFFER_3">Предложение!$G$225</definedName>
    <definedName name="pIns_PT_VTAR_C_COLDVSNA_OFFER_4">Предложение!$G$300</definedName>
    <definedName name="pIns_PT_VTAR_C_COLDVSNA_OFFER_5">Предложение!$G$375</definedName>
    <definedName name="pIns_PT_VTAR_C_HOTVSNA">'ГВС. Т-подкл'!$T$63</definedName>
    <definedName name="pIns_PT_VTAR_C_HOTVSNA_OFFER_1">Предложение!$G$88</definedName>
    <definedName name="pIns_PT_VTAR_C_HOTVSNA_OFFER_2">Предложение!$G$165</definedName>
    <definedName name="pIns_PT_VTAR_C_HOTVSNA_OFFER_3">Предложение!$G$240</definedName>
    <definedName name="pIns_PT_VTAR_C_HOTVSNA_OFFER_4">Предложение!$G$315</definedName>
    <definedName name="pIns_PT_VTAR_C_HOTVSNA_OFFER_5">Предложение!$G$390</definedName>
    <definedName name="pIns_PT_VTAR_C_OFFER_1">Предложение!$G$46</definedName>
    <definedName name="pIns_PT_VTAR_C_OFFER_2">Предложение!$G$123</definedName>
    <definedName name="pIns_PT_VTAR_C_OFFER_3">Предложение!$G$198</definedName>
    <definedName name="pIns_PT_VTAR_C_OFFER_4">Предложение!$G$273</definedName>
    <definedName name="pIns_PT_VTAR_C_OFFER_5">Предложение!$G$348</definedName>
    <definedName name="pIns_PT_VTAR_C_VOTV">'ВО. Т-подкл'!$T$63</definedName>
    <definedName name="pIns_PT_VTAR_C_VOTV_OFFER_1">Предложение!$G$97</definedName>
    <definedName name="pIns_PT_VTAR_C_VOTV_OFFER_2">Предложение!$G$174</definedName>
    <definedName name="pIns_PT_VTAR_C_VOTV_OFFER_3">Предложение!$G$249</definedName>
    <definedName name="pIns_PT_VTAR_C_VOTV_OFFER_4">Предложение!$G$324</definedName>
    <definedName name="pIns_PT_VTAR_C_VOTV_OFFER_5">Предложение!$G$399</definedName>
    <definedName name="pIns_PT_VTAR_D">'ТС. Т-гор.вода'!$V$65</definedName>
    <definedName name="pIns_PT_VTAR_D_COLDVSNA">'ХВС. Т-подвоз'!$T$53</definedName>
    <definedName name="pIns_PT_VTAR_D_COLDVSNA_OFFER_1">Предложение!$G$76</definedName>
    <definedName name="pIns_PT_VTAR_D_COLDVSNA_OFFER_2">Предложение!$G$153</definedName>
    <definedName name="pIns_PT_VTAR_D_COLDVSNA_OFFER_3">Предложение!$G$228</definedName>
    <definedName name="pIns_PT_VTAR_D_COLDVSNA_OFFER_4">Предложение!$G$303</definedName>
    <definedName name="pIns_PT_VTAR_D_COLDVSNA_OFFER_5">Предложение!$G$378</definedName>
    <definedName name="pIns_PT_VTAR_D_OFFER_1">Предложение!$G$49</definedName>
    <definedName name="pIns_PT_VTAR_D_OFFER_2">Предложение!$G$126</definedName>
    <definedName name="pIns_PT_VTAR_D_OFFER_3">Предложение!$G$201</definedName>
    <definedName name="pIns_PT_VTAR_D_OFFER_4">Предложение!$G$276</definedName>
    <definedName name="pIns_PT_VTAR_D_OFFER_5">Предложение!$G$351</definedName>
    <definedName name="pIns_PT_VTAR_E_COLDVSNA">'ХВС. Т-подкл'!$T$63</definedName>
    <definedName name="pIns_PT_VTAR_E_COLDVSNA_OFFER_1">Предложение!$G$79</definedName>
    <definedName name="pIns_PT_VTAR_E_COLDVSNA_OFFER_2">Предложение!$G$156</definedName>
    <definedName name="pIns_PT_VTAR_E_COLDVSNA_OFFER_3">Предложение!$G$231</definedName>
    <definedName name="pIns_PT_VTAR_E_COLDVSNA_OFFER_4">Предложение!$G$306</definedName>
    <definedName name="pIns_PT_VTAR_E_COLDVSNA_OFFER_5">Предложение!$G$381</definedName>
    <definedName name="pIns_PT_VTAR_E1">'ТС. Т-передача ТЭ'!$T$57</definedName>
    <definedName name="pIns_PT_VTAR_E1_OFFER_1">Предложение!$G$52</definedName>
    <definedName name="pIns_PT_VTAR_E1_OFFER_2">Предложение!$G$129</definedName>
    <definedName name="pIns_PT_VTAR_E1_OFFER_3">Предложение!$G$204</definedName>
    <definedName name="pIns_PT_VTAR_E1_OFFER_4">Предложение!$G$279</definedName>
    <definedName name="pIns_PT_VTAR_E1_OFFER_5">Предложение!$G$354</definedName>
    <definedName name="pIns_PT_VTAR_E2">'ТС. Т-передача ТН'!$T$57</definedName>
    <definedName name="pIns_PT_VTAR_E2_OFFER_1">Предложение!$G$55</definedName>
    <definedName name="pIns_PT_VTAR_E2_OFFER_2">Предложение!$G$132</definedName>
    <definedName name="pIns_PT_VTAR_E2_OFFER_3">Предложение!$G$207</definedName>
    <definedName name="pIns_PT_VTAR_E2_OFFER_4">Предложение!$G$282</definedName>
    <definedName name="pIns_PT_VTAR_E2_OFFER_5">Предложение!$G$357</definedName>
    <definedName name="pIns_PT_VTAR_F">'ТС. Резерв мощности'!$T$57</definedName>
    <definedName name="pIns_PT_VTAR_F_OFFER_1">Предложение!$G$58</definedName>
    <definedName name="pIns_PT_VTAR_F_OFFER_2">Предложение!$G$135</definedName>
    <definedName name="pIns_PT_VTAR_F_OFFER_3">Предложение!$G$210</definedName>
    <definedName name="pIns_PT_VTAR_F_OFFER_4">Предложение!$G$285</definedName>
    <definedName name="pIns_PT_VTAR_F_OFFER_5">Предложение!$G$360</definedName>
    <definedName name="pIns_PT_VTAR_G">'ТС. Т-подкл'!$T$62</definedName>
    <definedName name="pIns_PT_VTAR_G_OFFER_1">Предложение!$G$61</definedName>
    <definedName name="pIns_PT_VTAR_G_OFFER_2">Предложение!$G$138</definedName>
    <definedName name="pIns_PT_VTAR_G_OFFER_3">Предложение!$G$213</definedName>
    <definedName name="pIns_PT_VTAR_G_OFFER_4">Предложение!$G$288</definedName>
    <definedName name="pIns_PT_VTAR_G_OFFER_5">Предложение!$G$363</definedName>
    <definedName name="pIns_PT_VTAR_H">'ТС. Т-подкл(инд)'!$T$56</definedName>
    <definedName name="pIns_PT_VTAR_H_OFFER_1">Предложение!$G$64</definedName>
    <definedName name="pIns_PT_VTAR_H_OFFER_2">Предложение!$G$141</definedName>
    <definedName name="pIns_PT_VTAR_H_OFFER_3">Предложение!$G$216</definedName>
    <definedName name="pIns_PT_VTAR_H_OFFER_4">Предложение!$G$291</definedName>
    <definedName name="pIns_PT_VTAR_H_OFFER_5">Предложение!$G$366</definedName>
    <definedName name="pIns_PT_VTAR_I">'ТС. Т-ТЭ | предел'!$T$57</definedName>
    <definedName name="pIns_PT_VTAR_I_1">'ТС. Т-ТЭ | индикат'!$T$57</definedName>
    <definedName name="pIns_Q_LIMIT_1">Ограничения!$E$33</definedName>
    <definedName name="pIns_Q_LIMIT_2">Ограничения!$E$35</definedName>
    <definedName name="pIns_Q_LIMIT_3">Ограничения!$E$37</definedName>
    <definedName name="pIns_Q_LIMIT_4">Ограничения!$E$39</definedName>
    <definedName name="pIns_Q_LIMIT_DIFFERENTIATION">Ограничения!$K$25</definedName>
    <definedName name="pIns_Q_PH_DIFFERENTIATION">'Потребительские характеристики'!$K$8</definedName>
    <definedName name="pIns_Q_TP_1">ТП!$E$22</definedName>
    <definedName name="pIns_Q_TP_DIFFERENTIATION">ТП!$I$8</definedName>
    <definedName name="pIns_R_B_Purch_1">'Сведения о закупках'!$E$14</definedName>
    <definedName name="pIns_ROIV_CASE_case">'Дела об установлении тарифов'!$F$11</definedName>
    <definedName name="pIns_ROIV_CASE_PUC_case">'Дела об утверждении ПУЦ'!$F$11</definedName>
    <definedName name="pIns_ROIV_INFO_phone">'Орган регулирования'!$E$21</definedName>
    <definedName name="pIns_ROIV_ORG_org">'Перечень организаций'!$F$10</definedName>
    <definedName name="pIns_ROIV_OTV_org">'Привлечение к ответственности'!$F$15</definedName>
    <definedName name="pIns_ver_COLDVSNA_TARIFF_A_COLDVSNA">'ХВС. Т-пит'!$AJ$37</definedName>
    <definedName name="pIns_ver_COLDVSNA_TARIFF_B_COLDVSNA">'ХВС. Т-тех'!$AJ$37</definedName>
    <definedName name="pIns_ver_COLDVSNA_TARIFF_C_COLDVSNA">'ХВС. Т-транс'!$AJ$37</definedName>
    <definedName name="pIns_ver_COLDVSNA_TARIFF_D_COLDVSNA">'ХВС. Т-подвоз'!$AJ$37</definedName>
    <definedName name="pIns_ver_COLDVSNA_TARIFF_E_COLDVSNA">'ХВС. Т-подкл'!$BB$41</definedName>
    <definedName name="pIns_ver_HEAT_TARIFF_A">'ТС. Т-ТЭ | &gt;=25МВт'!$AL$39</definedName>
    <definedName name="pIns_ver_HEAT_TARIFF_B">'ТС. Т-ТЭ | ТСО'!$AL$39</definedName>
    <definedName name="pIns_ver_HEAT_TARIFF_C">'ТС. Т-ТН'!$AL$39</definedName>
    <definedName name="pIns_ver_HEAT_TARIFF_D">'ТС. Т-гор.вода'!$AP$43</definedName>
    <definedName name="pIns_ver_HEAT_TARIFF_E1">'ТС. Т-передача ТЭ'!$AL$39</definedName>
    <definedName name="pIns_ver_HEAT_TARIFF_E2">'ТС. Т-передача ТН'!$AL$39</definedName>
    <definedName name="pIns_ver_HEAT_TARIFF_F">'ТС. Резерв мощности'!$AL$39</definedName>
    <definedName name="pIns_ver_HEAT_TARIFF_G">'ТС. Т-подкл'!$AT$40</definedName>
    <definedName name="pIns_ver_HEAT_TARIFF_H">'ТС. Т-подкл(инд)'!$AJ$37</definedName>
    <definedName name="pIns_ver_HEAT_TARIFF_I">'ТС. Т-ТЭ | предел'!$AL$39</definedName>
    <definedName name="pIns_ver_HEAT_TARIFF_I_1">'ТС. Т-ТЭ | индикат'!$AL$39</definedName>
    <definedName name="pIns_ver_HOTVSNA_TARIFF_A_HOTVSNA">'ГВС. Т-гор.вода'!$AR$37</definedName>
    <definedName name="pIns_ver_HOTVSNA_TARIFF_B_HOTVSNA">'ГВС. Т-транс'!$AR$37</definedName>
    <definedName name="pIns_ver_HOTVSNA_TARIFF_C_HOTVSNA">'ГВС. Т-подкл'!$BB$41</definedName>
    <definedName name="pIns_ver_VOTV_TARIFF_A_VOTV">'ВО. Т-во'!$AJ$37</definedName>
    <definedName name="pIns_ver_VOTV_TARIFF_B_VOTV">'ВО. Т-транс'!$AJ$37</definedName>
    <definedName name="pIns_ver_VOTV_TARIFF_C_VOTV">'ВО. Т-подкл'!$BB$41</definedName>
    <definedName name="pNote_LIMIT">Ограничения!$K$26</definedName>
    <definedName name="pNote_Q_PH">'Потребительские характеристики'!$K$9</definedName>
    <definedName name="pNum_Q_LIMIT">Ограничения!$D$31</definedName>
    <definedName name="PROCEDURE_TC_NAME_FORM">DATA_FORMS!$C$30</definedName>
    <definedName name="PT_ADD_HL_CS_COLUMN_MARKER">'Перечень тарифов'!$R$8</definedName>
    <definedName name="PT_ADD_HL_IST_TE_COLUMN_MARKER">'Перечень тарифов'!$V$8</definedName>
    <definedName name="PT_ADD_HL_NTAR_COLUMN_MARKER">'Перечень тарифов'!$J$8</definedName>
    <definedName name="PT_ADD_HL_TER_COLUMN_MARKER">'Перечень тарифов'!$N$8</definedName>
    <definedName name="PT_ADD_HL_VTAR_COLUMN_MARKER">'Перечень тарифов'!$E$8</definedName>
    <definedName name="pt_cs_1">'ТС. Т-ТЭ | &gt;=25МВт'!$45:$54</definedName>
    <definedName name="pt_cs_10">'ХВС. Т-тех'!$43:$50</definedName>
    <definedName name="pt_cs_11">'ХВС. Т-транс'!$43:$50</definedName>
    <definedName name="pt_cs_12">'ХВС. Т-подвоз'!$43:$50</definedName>
    <definedName name="pt_cs_13">'ХВС. Т-подкл'!$48:$60</definedName>
    <definedName name="pt_cs_14">'ГВС. Т-гор.вода'!$44:$51</definedName>
    <definedName name="pt_cs_15">'ГВС. Т-транс'!$44:$51</definedName>
    <definedName name="pt_cs_16">'ГВС. Т-подкл'!$48:$60</definedName>
    <definedName name="pt_cs_17">'ВО. Т-во'!$43:$50</definedName>
    <definedName name="pt_cs_18">'ВО. Т-транс'!$43:$50</definedName>
    <definedName name="pt_cs_19">'ВО. Т-подкл'!$48:$60</definedName>
    <definedName name="pt_cs_2">'ТС. Т-ТЭ | ТСО'!$45:$54</definedName>
    <definedName name="pt_cs_20">'ТС. Т-подкл(инд)'!$44:$52</definedName>
    <definedName name="pt_cs_21">'ТС. Т-ТЭ | предел'!$45:$54</definedName>
    <definedName name="pt_cs_21_1">'ТС. Т-ТЭ | индикат'!$45:$54</definedName>
    <definedName name="pt_cs_3">'ТС. Т-ТН'!$45:$54</definedName>
    <definedName name="pt_cs_30">'ТС. Т-ТЭ | ТСО'!$59:$68</definedName>
    <definedName name="pt_cs_31">'ТС. Т-ТЭ | ТСО'!$73:$82</definedName>
    <definedName name="pt_cs_32">'ТС. Т-ТЭ | ТСО'!$87:$96</definedName>
    <definedName name="pt_cs_33">'ТС. Т-ТЭ | ТСО'!$101:$110</definedName>
    <definedName name="pt_cs_34">'ТС. Т-ТЭ | ТСО'!$115:$124</definedName>
    <definedName name="pt_cs_35">'ТС. Т-ТЭ | ТСО'!$129:$146</definedName>
    <definedName name="pt_cs_36">'ТС. Т-ТЭ | ТСО'!$151:$160</definedName>
    <definedName name="pt_cs_4">'ТС. Т-гор.вода'!$51:$62</definedName>
    <definedName name="pt_cs_5">'ТС. Т-передача ТЭ'!$45:$54</definedName>
    <definedName name="pt_cs_6">'ТС. Т-передача ТН'!$45:$54</definedName>
    <definedName name="pt_cs_7">'ТС. Резерв мощности'!$45:$54</definedName>
    <definedName name="pt_cs_8">'ТС. Т-подкл'!$47:$58</definedName>
    <definedName name="pt_cs_9">'ХВС. Т-пит'!$43:$50</definedName>
    <definedName name="PT_DEL_HL_CS_COLUMN_MARKER">'Перечень тарифов'!$P$8</definedName>
    <definedName name="PT_DEL_HL_IST_TE_COLUMN_MARKER">'Перечень тарифов'!$T$8</definedName>
    <definedName name="PT_DEL_HL_NTAR_COLUMN_MARKER">'Перечень тарифов'!$H$8</definedName>
    <definedName name="PT_DEL_HL_TER_COLUMN_MARKER">'Перечень тарифов'!$L$8</definedName>
    <definedName name="PT_DEL_HL_VTAR_COLUMN_MARKER">'Перечень тарифов'!$C$8</definedName>
    <definedName name="PT_DIAMETERS_2_LIST">TEHSHEET!$AZ$76:$AZ$82</definedName>
    <definedName name="PT_DIAMETERS_LIST">TEHSHEET!$AZ$60:$AZ$64</definedName>
    <definedName name="PT_DIFFERENTIATION_CS">'Перечень тарифов'!$AL$12:$AL$165</definedName>
    <definedName name="PT_DIFFERENTIATION_CS_ID">'Перечень тарифов'!$AF$12:$AF$165</definedName>
    <definedName name="PT_DIFFERENTIATION_IST_TE">'Перечень тарифов'!$AM$12:$AM$165</definedName>
    <definedName name="PT_DIFFERENTIATION_IST_TE_ID">'Перечень тарифов'!$AG$12:$AG$165</definedName>
    <definedName name="PT_DIFFERENTIATION_NTAR">'Перечень тарифов'!$AJ$12:$AJ$165</definedName>
    <definedName name="PT_DIFFERENTIATION_NTAR_ID">'Перечень тарифов'!$AD$12:$AD$165</definedName>
    <definedName name="PT_DIFFERENTIATION_NUM_CS">'Перечень тарифов'!$AP$12:$AP$165</definedName>
    <definedName name="PT_DIFFERENTIATION_NUM_IST_TE">'Перечень тарифов'!$AQ$12:$AQ$165</definedName>
    <definedName name="PT_DIFFERENTIATION_NUM_NTAR">'Перечень тарифов'!$AN$12:$AN$165</definedName>
    <definedName name="PT_DIFFERENTIATION_NUM_TER">'Перечень тарифов'!$AO$12:$AO$165</definedName>
    <definedName name="PT_DIFFERENTIATION_TER">'Перечень тарифов'!$AK$12:$AK$165</definedName>
    <definedName name="PT_DIFFERENTIATION_TER_ID">'Перечень тарифов'!$AE$12:$AE$165</definedName>
    <definedName name="PT_DIFFERENTIATION_VDET">'Перечень тарифов'!$AI$12:$AI$165</definedName>
    <definedName name="PT_DIFFERENTIATION_VTAR">'Перечень тарифов'!$AH$12:$AH$165</definedName>
    <definedName name="PT_DIFFERENTIATION_VTAR_ID">'Перечень тарифов'!$AC$12:$AC$165</definedName>
    <definedName name="PT_FLAG_CS_COLUMN_MARKER">'Перечень тарифов'!$O$8</definedName>
    <definedName name="PT_FLAG_IST_TE_COLUMN_MARKER">'Перечень тарифов'!$S$8</definedName>
    <definedName name="PT_FLAG_TER_COLUMN_MARKER">'Перечень тарифов'!$K$8</definedName>
    <definedName name="PT_FLAG_VTAR_COLUMN_MARKER">'Перечень тарифов'!$F$8</definedName>
    <definedName name="PT_GROUP_CONSUMER_LIST">TEHSHEET!$AZ$29:$AZ$33</definedName>
    <definedName name="PT_HEAT_PRICE_INDICATORS_LEVEL">'Перечень тарифов'!$F$91</definedName>
    <definedName name="pt_ist_te_1">'ТС. Т-ТЭ | &gt;=25МВт'!$46:$53</definedName>
    <definedName name="pt_ist_te_2">'ТС. Т-ТЭ | ТСО'!$46:$53</definedName>
    <definedName name="pt_ist_te_20">'ТС. Т-подкл(инд)'!$45:$51</definedName>
    <definedName name="pt_ist_te_21">'ТС. Т-ТЭ | предел'!$46:$53</definedName>
    <definedName name="pt_ist_te_21_1">'ТС. Т-ТЭ | индикат'!$46:$53</definedName>
    <definedName name="pt_ist_te_3">'ТС. Т-ТН'!$46:$53</definedName>
    <definedName name="pt_ist_te_30">'ТС. Т-ТЭ | ТСО'!$60:$67</definedName>
    <definedName name="pt_ist_te_31">'ТС. Т-ТЭ | ТСО'!$74:$81</definedName>
    <definedName name="pt_ist_te_32">'ТС. Т-ТЭ | ТСО'!$88:$95</definedName>
    <definedName name="pt_ist_te_33">'ТС. Т-ТЭ | ТСО'!$102:$109</definedName>
    <definedName name="pt_ist_te_34">'ТС. Т-ТЭ | ТСО'!$116:$123</definedName>
    <definedName name="pt_ist_te_35">'ТС. Т-ТЭ | ТСО'!$130:$145</definedName>
    <definedName name="pt_ist_te_36">'ТС. Т-ТЭ | ТСО'!$152:$159</definedName>
    <definedName name="pt_ist_te_4">'ТС. Т-гор.вода'!$52:$61</definedName>
    <definedName name="pt_ist_te_5">'ТС. Т-передача ТЭ'!$46:$53</definedName>
    <definedName name="pt_ist_te_6">'ТС. Т-передача ТН'!$46:$53</definedName>
    <definedName name="pt_ist_te_7">'ТС. Резерв мощности'!$46:$53</definedName>
    <definedName name="pt_ist_te_8">'ТС. Т-подкл'!$48:$57</definedName>
    <definedName name="PT_LOAD_LIST">TEHSHEET!$AZ$67:$AZ$72</definedName>
    <definedName name="PT_NETS_LIST">TEHSHEET!$AZ$55:$AZ$57</definedName>
    <definedName name="pt_ntar_1">'ТС. Т-ТЭ | &gt;=25МВт'!$43:$56</definedName>
    <definedName name="pt_ntar_10">'ХВС. Т-тех'!$41:$52</definedName>
    <definedName name="pt_ntar_11">'ХВС. Т-транс'!$41:$52</definedName>
    <definedName name="pt_ntar_12">'ХВС. Т-подвоз'!$41:$52</definedName>
    <definedName name="pt_ntar_13">'ХВС. Т-подкл'!$46:$62</definedName>
    <definedName name="pt_ntar_14">'ГВС. Т-гор.вода'!$42:$53</definedName>
    <definedName name="pt_ntar_15">'ГВС. Т-транс'!$42:$53</definedName>
    <definedName name="pt_ntar_16">'ГВС. Т-подкл'!$46:$62</definedName>
    <definedName name="pt_ntar_17">'ВО. Т-во'!$41:$52</definedName>
    <definedName name="pt_ntar_18">'ВО. Т-транс'!$41:$52</definedName>
    <definedName name="pt_ntar_19">'ВО. Т-подкл'!$46:$62</definedName>
    <definedName name="pt_ntar_2">'ТС. Т-ТЭ | ТСО'!$43:$56</definedName>
    <definedName name="pt_ntar_20">'ТС. Т-подкл(инд)'!$42:$55</definedName>
    <definedName name="pt_ntar_21">'ТС. Т-ТЭ | предел'!$43:$56</definedName>
    <definedName name="pt_ntar_21_1">'ТС. Т-ТЭ | индикат'!$43:$56</definedName>
    <definedName name="pt_ntar_3">'ТС. Т-ТН'!$43:$56</definedName>
    <definedName name="pt_ntar_30">'ТС. Т-ТЭ | ТСО'!$57:$70</definedName>
    <definedName name="pt_ntar_301">'ТС. Т-ТЭ | ТСО'!$71:$84</definedName>
    <definedName name="pt_ntar_3011">'ТС. Т-ТЭ | ТСО'!$85:$98</definedName>
    <definedName name="pt_ntar_30111">'ТС. Т-ТЭ | ТСО'!$99:$112</definedName>
    <definedName name="pt_ntar_301111">'ТС. Т-ТЭ | ТСО'!$113:$126</definedName>
    <definedName name="pt_ntar_3011111">'ТС. Т-ТЭ | ТСО'!$127:$148</definedName>
    <definedName name="pt_ntar_30111111">'ТС. Т-ТЭ | ТСО'!$149:$162</definedName>
    <definedName name="pt_ntar_4">'ТС. Т-гор.вода'!$49:$64</definedName>
    <definedName name="pt_ntar_5">'ТС. Т-передача ТЭ'!$43:$56</definedName>
    <definedName name="pt_ntar_6">'ТС. Т-передача ТН'!$43:$56</definedName>
    <definedName name="pt_ntar_7">'ТС. Резерв мощности'!$43:$56</definedName>
    <definedName name="pt_ntar_8">'ТС. Т-подкл'!$45:$61</definedName>
    <definedName name="pt_ntar_9">'ХВС. Т-пит'!$41:$52</definedName>
    <definedName name="PT_P_FORM_COLDVSNA_4_NAME_FORM">DATA_FORMS!$C$17</definedName>
    <definedName name="PT_P_FORM_COLDVSNA_5_NAME_FORM">DATA_FORMS!$C$18</definedName>
    <definedName name="PT_P_FORM_HEAT_21_NAME_FORM">DATA_FORMS!$C$13</definedName>
    <definedName name="PT_P_FORM_HEAT_22_NAME_FORM">DATA_FORMS!$C$14</definedName>
    <definedName name="PT_P_FORM_HEAT_4_NAME_FORM">DATA_FORMS!$C$9</definedName>
    <definedName name="PT_P_FORM_HEAT_5_NAME_FORM">DATA_FORMS!$C$10</definedName>
    <definedName name="PT_P_FORM_HEAT_6_NAME_FORM">DATA_FORMS!$C$11</definedName>
    <definedName name="PT_P_FORM_HEAT_7_NAME_FORM">DATA_FORMS!$C$12</definedName>
    <definedName name="PT_P_FORM_HOTVSNA_4_NAME_FORM">DATA_FORMS!$C$21</definedName>
    <definedName name="PT_P_FORM_HOTVSNA_5_NAME_FORM">DATA_FORMS!$C$22</definedName>
    <definedName name="PT_P_FORM_VOTV_4_NAME_FORM">DATA_FORMS!$C$25</definedName>
    <definedName name="PT_P_FORM_VOTV_5_NAME_FORM">DATA_FORMS!$C$26</definedName>
    <definedName name="PT_R_FORM_COLDVSNA_16_NAME_FORM">DATA_FORMS!$C$19</definedName>
    <definedName name="PT_R_FORM_COLDVSNA_17_NAME_FORM">DATA_FORMS!$C$20</definedName>
    <definedName name="PT_R_FORM_HEAT_21_NAME_FORM">DATA_FORMS!$C$13</definedName>
    <definedName name="PT_R_FORM_HEAT_22_NAME_FORM">DATA_FORMS!$C$14</definedName>
    <definedName name="PT_R_FORM_HEAT_23_NAME_FORM">DATA_FORMS!$C$15</definedName>
    <definedName name="PT_R_FORM_HEAT_24_NAME_FORM">DATA_FORMS!$C$16</definedName>
    <definedName name="PT_R_FORM_HOTVSNA_16_NAME_FORM">DATA_FORMS!$C$23</definedName>
    <definedName name="PT_R_FORM_HOTVSNA_17_NAME_FORM">DATA_FORMS!$C$24</definedName>
    <definedName name="PT_R_FORM_VOTV_16_NAME_FORM">DATA_FORMS!$C$27</definedName>
    <definedName name="PT_R_FORM_VOTV_17_NAME_FORM">DATA_FORMS!$C$28</definedName>
    <definedName name="PT_SCHEME_LIST">TEHSHEET!$AZ$36:$AZ$39</definedName>
    <definedName name="pt_ter_1">'ТС. Т-ТЭ | &gt;=25МВт'!$44:$55</definedName>
    <definedName name="pt_ter_10">'ХВС. Т-тех'!$42:$51</definedName>
    <definedName name="pt_ter_11">'ХВС. Т-транс'!$42:$51</definedName>
    <definedName name="pt_ter_12">'ХВС. Т-подвоз'!$42:$51</definedName>
    <definedName name="pt_ter_13">'ХВС. Т-подкл'!$47:$61</definedName>
    <definedName name="pt_ter_14">'ГВС. Т-гор.вода'!$43:$52</definedName>
    <definedName name="pt_ter_15">'ГВС. Т-транс'!$43:$52</definedName>
    <definedName name="pt_ter_16">'ГВС. Т-подкл'!$47:$61</definedName>
    <definedName name="pt_ter_17">'ВО. Т-во'!$42:$51</definedName>
    <definedName name="pt_ter_18">'ВО. Т-транс'!$42:$51</definedName>
    <definedName name="pt_ter_19">'ВО. Т-подкл'!$47:$61</definedName>
    <definedName name="pt_ter_2">'ТС. Т-ТЭ | ТСО'!$44:$55</definedName>
    <definedName name="pt_ter_20">'ТС. Т-подкл(инд)'!$43:$53</definedName>
    <definedName name="pt_ter_21">'ТС. Т-ТЭ | предел'!$44:$55</definedName>
    <definedName name="pt_ter_21_1">'ТС. Т-ТЭ | индикат'!$44:$55</definedName>
    <definedName name="pt_ter_3">'ТС. Т-ТН'!$44:$55</definedName>
    <definedName name="pt_ter_30">'ТС. Т-ТЭ | ТСО'!$58:$69</definedName>
    <definedName name="pt_ter_31">'ТС. Т-ТЭ | ТСО'!$72:$83</definedName>
    <definedName name="pt_ter_32">'ТС. Т-ТЭ | ТСО'!$86:$97</definedName>
    <definedName name="pt_ter_33">'ТС. Т-ТЭ | ТСО'!$100:$111</definedName>
    <definedName name="pt_ter_34">'ТС. Т-ТЭ | ТСО'!$114:$125</definedName>
    <definedName name="pt_ter_35">'ТС. Т-ТЭ | ТСО'!$128:$147</definedName>
    <definedName name="pt_ter_36">'ТС. Т-ТЭ | ТСО'!$150:$161</definedName>
    <definedName name="pt_ter_4">'ТС. Т-гор.вода'!$50:$63</definedName>
    <definedName name="pt_ter_5">'ТС. Т-передача ТЭ'!$44:$55</definedName>
    <definedName name="pt_ter_6">'ТС. Т-передача ТН'!$44:$55</definedName>
    <definedName name="pt_ter_7">'ТС. Резерв мощности'!$44:$55</definedName>
    <definedName name="pt_ter_8">'ТС. Т-подкл'!$46:$59</definedName>
    <definedName name="pt_ter_9">'ХВС. Т-пит'!$42:$51</definedName>
    <definedName name="PT_TN_LIST">TEHSHEET!$AZ$42:$AZ$52</definedName>
    <definedName name="PT_VDET_COLUMN_MARKER">'Перечень тарифов'!$G$8</definedName>
    <definedName name="PURCH_NAME_FORM">DATA_FORMS!$C$29</definedName>
    <definedName name="Q_LIMIT_CheckC">Ограничения!$E$32:$K$39</definedName>
    <definedName name="Q_LIMIT_diff_1">Ограничения!$I$26:$J$28</definedName>
    <definedName name="Q_LIMIT_p3">Ограничения!$F$36:$K$37</definedName>
    <definedName name="Q_LIMIT_p4">Ограничения!$F$38:$K$39</definedName>
    <definedName name="Q_PH_diff_1">'Потребительские характеристики'!$I$9:$J$11</definedName>
    <definedName name="Q_TP_COUNT_REFUSAL">ТП!$H$17:$H$17</definedName>
    <definedName name="Q_TP_diff_1">ТП!$H$9:$H$11</definedName>
    <definedName name="QRE_METHOD_LIST">TEHSHEET!$AZ$8:$AZ$10</definedName>
    <definedName name="QUARTER">TEHSHEET!$F$2:$F$5</definedName>
    <definedName name="R_OFFER_ADD_PERIOD_HL_COLUMN_MARKER">Предложение!$I$12</definedName>
    <definedName name="R_OFFER_CHANGE_HL_COLUMN_MARKER">Предложение!$K$12</definedName>
    <definedName name="R_OFFER_DEL_HL_COLUMN_MARKER">Предложение!$H$12</definedName>
    <definedName name="R_OFFER_FLAG_HL_COLUMN_MARKER">Предложение!$C$12</definedName>
    <definedName name="REESTR_IP_RANGE">REESTR_IP!$A$2:$I$13</definedName>
    <definedName name="REESTR_LINK_RANGE">REESTR_LINK!$A$2:$C$3</definedName>
    <definedName name="REESTR_VT_RANGE">REESTR_VT!$A$2:$B$11</definedName>
    <definedName name="REGION">TEHSHEET!$A$2:$A$91</definedName>
    <definedName name="region_name">Титульный!$F$7</definedName>
    <definedName name="RegulatoryPeriod">Титульный!$F$11:$F$12</definedName>
    <definedName name="ReportPeriod">Титульный!$F$11:$F$15</definedName>
    <definedName name="ROIV_CASE_ADD_HL_CASE_COLUMN_MARKER">'Дела об установлении тарифов'!$F$1</definedName>
    <definedName name="ROIV_CASE_DATE">'Дела об установлении тарифов'!$G$10:$G$11</definedName>
    <definedName name="ROIV_CASE_DEL_HL_CASE_COLUMN_MARKER">'Дела об установлении тарифов'!$D$1</definedName>
    <definedName name="ROIV_CASE_NUM_CASE_COLUMN_MARKER">'Дела об установлении тарифов'!$E$1</definedName>
    <definedName name="ROIV_CASE_PROTOKOL">'Дела об установлении тарифов'!$K$10:$K$11</definedName>
    <definedName name="ROIV_CASE_PROTOKOL_ET">'Дела об установлении тарифов'!$K$2</definedName>
    <definedName name="ROIV_CASE_PUC_ADD_HL_CASE_COLUMN_MARKER">'Дела об утверждении ПУЦ'!$F$1</definedName>
    <definedName name="ROIV_CASE_PUC_DATE">'Дела об утверждении ПУЦ'!$G$10:$G$11</definedName>
    <definedName name="ROIV_CASE_PUC_DEL_HL_CASE_COLUMN_MARKER">'Дела об утверждении ПУЦ'!$D$1</definedName>
    <definedName name="ROIV_CASE_PUC_NUM_CASE_COLUMN_MARKER">'Дела об утверждении ПУЦ'!$E$1</definedName>
    <definedName name="ROIV_CASE_PUC_PROTOKOL">'Дела об утверждении ПУЦ'!$K$10:$K$11</definedName>
    <definedName name="ROIV_CASE_PUC_PROTOKOL_ET">'Дела об утверждении ПУЦ'!$K$2</definedName>
    <definedName name="ROIV_CASE_PUC_RESH">'Дела об утверждении ПУЦ'!$J$10:$J$11</definedName>
    <definedName name="ROIV_CASE_PUC_RESH_ET">'Дела об утверждении ПУЦ'!$J$2</definedName>
    <definedName name="ROIV_CASE_RESH">'Дела об установлении тарифов'!$J$10:$J$11</definedName>
    <definedName name="ROIV_CASE_RESH_ET">'Дела об установлении тарифов'!$J$2</definedName>
    <definedName name="ROIV_INFO_COMMENT">TEHSHEET!$BA$97:$BA$103</definedName>
    <definedName name="ROIV_INFO_COMMENT_HEAT">TEHSHEET!$BA$97:$BA$103</definedName>
    <definedName name="ROIV_INFO_COMMENT_NO_HEAT">TEHSHEET!$BA$111:$BA$116</definedName>
    <definedName name="ROIV_INFO_DEL_HL_PHONE_COLUMN_MARKER">'Орган регулирования'!$C$1</definedName>
    <definedName name="ROIV_INFO_DOKLAD">'Орган регулирования'!$F$24</definedName>
    <definedName name="ROIV_INFO_LIST">TEHSHEET!$AZ$97:$AZ$103</definedName>
    <definedName name="ROIV_INFO_LIST_HEAT">TEHSHEET!$AZ$97:$AZ$103</definedName>
    <definedName name="ROIV_INFO_LIST_NO_HEAT">TEHSHEET!$AZ$111:$AZ$116</definedName>
    <definedName name="ROIV_INFO_NAME">'Орган регулирования'!$F$12</definedName>
    <definedName name="ROIV_INFO_NUM_PHONE_COLUMN_MARKER">'Орган регулирования'!$D$1</definedName>
    <definedName name="ROIV_ORG_DEL_HL_ORG_COLUMN_MARKER">'Перечень организаций'!$D$1</definedName>
    <definedName name="ROIV_ORG_INN_COLUMN_MARKER">'Перечень организаций'!$G$1</definedName>
    <definedName name="ROIV_ORG_KPP_COLUMN_MARKER">'Перечень организаций'!$H$1</definedName>
    <definedName name="ROIV_ORG_NAME_ORG_COLUMN_MARKER">'Перечень организаций'!$F$1</definedName>
    <definedName name="ROIV_ORG_NUM_ORG_COLUMN_MARKER">'Перечень организаций'!$E$1</definedName>
    <definedName name="ROIV_ORG_TECH_ORG_ID">'Перечень организаций'!$A$9:$A$10</definedName>
    <definedName name="ROIV_ORG_TECH_ORG_ID_COLUMN_MARKER">'Перечень организаций'!$A$1</definedName>
    <definedName name="ROIV_OTV_ADD_HL_DL_COLUMN_MARKER">'Привлечение к ответственности'!$K$1</definedName>
    <definedName name="ROIV_OTV_DEL_HL_DL_COLUMN_MARKER">'Привлечение к ответственности'!$I$1</definedName>
    <definedName name="ROIV_OTV_DEL_HL_ORG_COLUMN_MARKER">'Привлечение к ответственности'!$D$1</definedName>
    <definedName name="ROIV_OTV_INN_COLUMN_MARKER">'Привлечение к ответственности'!$H$1</definedName>
    <definedName name="ROIV_OTV_NAME_ORG_COLUMN_MARKER">'Привлечение к ответственности'!$G$1</definedName>
    <definedName name="ROIV_OTV_NUM_DL_COLUMN_MARKER">'Привлечение к ответственности'!$J$1</definedName>
    <definedName name="ROIV_OTV_NUM_ORG_COLUMN_MARKER">'Привлечение к ответственности'!$E$1</definedName>
    <definedName name="ROIV_OTV_TECH_ORG_ID_COLUMN_MARKER">'Привлечение к ответственности'!$A$1</definedName>
    <definedName name="RST_ORG_ID">Титульный!$F$72</definedName>
    <definedName name="SKI_number">TEHSHEET!$I$2:$I$21</definedName>
    <definedName name="StartDateList">TEHSHEET!$G$46:$G$53</definedName>
    <definedName name="tblEnd_1_B_FHD">'Показатели ФХД'!$J$131</definedName>
    <definedName name="tblEnd_1_B_FHD_TKO">'ТКО. Показатели ФХД'!$J$47</definedName>
    <definedName name="tblEnd_1_B_FHD_TKO_TRANS">'ТКО. Транс. Показатели ФХД'!$J$38</definedName>
    <definedName name="tblEnd_1_B_KNE">'Показатели КНЭ'!$J$101</definedName>
    <definedName name="tblEnd_1_B_OTEP">'Показатели ОТЭП'!$N$34</definedName>
    <definedName name="tblEnd_1_B_STANDARTS">'Стандарты качества'!$L$13</definedName>
    <definedName name="tblEnd_1_CHANGE_INFO">'Сведения об изменении'!$E$14</definedName>
    <definedName name="tblEnd_1_DIFFERENTIATION">Дифференциация!$M$17</definedName>
    <definedName name="tblEnd_1_DIFFERENTIATION_TARIFF">'Перечень тарифов'!$W$164</definedName>
    <definedName name="tblEnd_1_DIFFERENTIATION_TKO">'Дифференциация тариф показатель'!$AI$41</definedName>
    <definedName name="tblEnd_1_ED">ЭД!$H$14</definedName>
    <definedName name="tblEnd_1_IP_DETAILED">'ИП. Детализация'!$AH$14</definedName>
    <definedName name="tblEnd_1_IP_FIN_PLAN">'ИП. Финансовый план'!$K$58</definedName>
    <definedName name="tblEnd_1_IP_MAIN">ИП!$AB$14</definedName>
    <definedName name="tblEnd_1_IP_QRE">'ИП. КНЭ'!$FX$21</definedName>
    <definedName name="tblEnd_1_OFFER">Предложение!$L$400</definedName>
    <definedName name="tblEnd_1_ORG_INFO">'Общая информация об организации'!$F$52</definedName>
    <definedName name="tblEnd_1_ORG_TERRITORY">'Сведения по территориям'!$K$14</definedName>
    <definedName name="tblEnd_1_ORG_VD">'Общая информация по ВД'!$AI$14</definedName>
    <definedName name="tblEnd_1_ORG_VD_TKO">'Виды объектов'!$I$17</definedName>
    <definedName name="tblEnd_1_P_PROCEDURE_TC">'Порядок ТП'!$H$41</definedName>
    <definedName name="tblEnd_1_P_T_TERMS">Договоры!$F$28</definedName>
    <definedName name="tblEnd_1_Q_LIMIT">Ограничения!$K$40</definedName>
    <definedName name="tblEnd_1_Q_PH">'Потребительские характеристики'!$K$21</definedName>
    <definedName name="tblEnd_1_Q_TP">ТП!$I$23</definedName>
    <definedName name="tblEnd_1_R_B_Purch">'Сведения о закупках'!$G$15</definedName>
    <definedName name="tblEnd_1_R_Offer">Предложение!$L$400</definedName>
    <definedName name="tblEnd_1_ROIV_CASE">'Дела об установлении тарифов'!$K$12</definedName>
    <definedName name="tblEnd_1_ROIV_CASE_PUC">'Дела об утверждении ПУЦ'!$K$12</definedName>
    <definedName name="tblEnd_1_ROIV_INFO">'Орган регулирования'!$F$25</definedName>
    <definedName name="tblEnd_1_ROIV_ORG">'Перечень организаций'!$I$11</definedName>
    <definedName name="tblEnd_1_ROIV_OTV">'Привлечение к ответственности'!$M$16</definedName>
    <definedName name="tblEnd_1_TARIFF_A">'ТС. Т-ТЭ | &gt;=25МВт'!$AL$58</definedName>
    <definedName name="tblEnd_1_TARIFF_A_COLDVSNA">'ХВС. Т-пит'!$AJ$54</definedName>
    <definedName name="tblEnd_1_TARIFF_A_HOTVSNA">'ГВС. Т-гор.вода'!$AR$55</definedName>
    <definedName name="tblEnd_1_TARIFF_A_VOTV">'ВО. Т-во'!$AJ$54</definedName>
    <definedName name="tblEnd_1_TARIFF_B">'ТС. Т-ТЭ | ТСО'!$AL$164</definedName>
    <definedName name="tblEnd_1_TARIFF_B_COLDVSNA">'ХВС. Т-тех'!$AJ$54</definedName>
    <definedName name="tblEnd_1_TARIFF_B_HOTVSNA">'ГВС. Т-транс'!$AR$55</definedName>
    <definedName name="tblEnd_1_TARIFF_B_VOTV">'ВО. Т-транс'!$AJ$54</definedName>
    <definedName name="tblEnd_1_TARIFF_C">'ТС. Т-ТН'!$AL$58</definedName>
    <definedName name="tblEnd_1_TARIFF_C_COLDVSNA">'ХВС. Т-транс'!$AJ$54</definedName>
    <definedName name="tblEnd_1_TARIFF_C_HOTVSNA">'ГВС. Т-подкл'!$BB$64</definedName>
    <definedName name="tblEnd_1_TARIFF_C_VOTV">'ВО. Т-подкл'!$BB$64</definedName>
    <definedName name="tblEnd_1_TARIFF_D">'ТС. Т-гор.вода'!$AP$66</definedName>
    <definedName name="tblEnd_1_TARIFF_D_COLDVSNA">'ХВС. Т-подвоз'!$AJ$54</definedName>
    <definedName name="tblEnd_1_TARIFF_E_COLDVSNA">'ХВС. Т-подкл'!$BB$64</definedName>
    <definedName name="tblEnd_1_TARIFF_E1">'ТС. Т-передача ТЭ'!$AL$58</definedName>
    <definedName name="tblEnd_1_TARIFF_E2">'ТС. Т-передача ТН'!$AL$58</definedName>
    <definedName name="tblEnd_1_TARIFF_F">'ТС. Резерв мощности'!$AL$58</definedName>
    <definedName name="tblEnd_1_TARIFF_G">'ТС. Т-подкл'!$AT$63</definedName>
    <definedName name="tblEnd_1_TARIFF_H">'ТС. Т-подкл(инд)'!$AJ$57</definedName>
    <definedName name="tblEnd_1_TARIFF_I">'ТС. Т-ТЭ | предел'!$AL$54</definedName>
    <definedName name="tblEnd_1_TARIFF_I_1">'ТС. Т-ТЭ | индикат'!$AL$58</definedName>
    <definedName name="tblEnd_1_TERRITORY">'Список территорий'!$I$16</definedName>
    <definedName name="tblStart_1_B_FHD">'Показатели ФХД'!$I$30</definedName>
    <definedName name="tblStart_1_B_FHD_TKO">'ТКО. Показатели ФХД'!$I$15</definedName>
    <definedName name="tblStart_1_B_FHD_TKO_TRANS">'ТКО. Транс. Показатели ФХД'!$I$15</definedName>
    <definedName name="tblStart_1_B_KNE">'Показатели КНЭ'!$I$12</definedName>
    <definedName name="tblStart_1_B_OTEP">'Показатели ОТЭП'!$M$15</definedName>
    <definedName name="tblStart_1_B_STANDARTS">'Стандарты качества'!$L$10</definedName>
    <definedName name="tblStart_1_CHANGE_INFO">'Сведения об изменении'!$E$12</definedName>
    <definedName name="tblStart_1_DIFFERENTIATION">Дифференциация!$E$13</definedName>
    <definedName name="tblStart_1_DIFFERENTIATION_TARIFF">'Перечень тарифов'!$G$13</definedName>
    <definedName name="tblStart_1_DIFFERENTIATION_TKO">'Дифференциация тариф показатель'!$K$11</definedName>
    <definedName name="tblStart_1_ED">ЭД!$E$12</definedName>
    <definedName name="tblStart_1_IP_DETAILED">'ИП. Детализация'!$I$13</definedName>
    <definedName name="tblStart_1_IP_FIN_PLAN">'ИП. Финансовый план'!$J$14</definedName>
    <definedName name="tblStart_1_IP_MAIN">ИП!$H$11</definedName>
    <definedName name="tblStart_1_IP_QRE">'ИП. КНЭ'!$O$18</definedName>
    <definedName name="tblStart_1_OFFER">Предложение!$H$22</definedName>
    <definedName name="tblStart_1_ORG_INFO">'Общая информация об организации'!$F$13</definedName>
    <definedName name="tblStart_1_ORG_TERRITORY">'Сведения по территориям'!$G$12</definedName>
    <definedName name="tblStart_1_ORG_VD">'Общая информация по ВД'!$F$12</definedName>
    <definedName name="tblStart_1_ORG_VD_TKO">'Виды объектов'!$E$14</definedName>
    <definedName name="tblStart_1_P_PROCEDURE_TC">'Порядок ТП'!$G$22</definedName>
    <definedName name="tblStart_1_P_T_TERMS">Договоры!$F$14</definedName>
    <definedName name="tblStart_1_Q_LIMIT">Ограничения!$I$32</definedName>
    <definedName name="tblStart_1_Q_PH">'Потребительские характеристики'!$I$19</definedName>
    <definedName name="tblStart_1_Q_TP">ТП!$H$15</definedName>
    <definedName name="tblStart_1_R_B_Purch">'Сведения о закупках'!$F$10</definedName>
    <definedName name="tblStart_1_R_Offer">Предложение!$H$22</definedName>
    <definedName name="tblStart_1_ROIV_CASE">'Дела об установлении тарифов'!$G$10</definedName>
    <definedName name="tblStart_1_ROIV_CASE_PUC">'Дела об утверждении ПУЦ'!$G$10</definedName>
    <definedName name="tblStart_1_ROIV_INFO">'Орган регулирования'!$F$12</definedName>
    <definedName name="tblStart_1_ROIV_ORG">'Перечень организаций'!$F$9</definedName>
    <definedName name="tblStart_1_ROIV_OTV">'Привлечение к ответственности'!$K$13</definedName>
    <definedName name="tblStart_1_TARIFF_A">'ТС. Т-ТЭ | &gt;=25МВт'!$AD$43</definedName>
    <definedName name="tblStart_1_TARIFF_A_COLDVSNA">'ХВС. Т-пит'!$AC$41</definedName>
    <definedName name="tblStart_1_TARIFF_A_HOTVSNA">'ГВС. Т-гор.вода'!$AG$42</definedName>
    <definedName name="tblStart_1_TARIFF_A_VOTV">'ВО. Т-во'!$AC$41</definedName>
    <definedName name="tblStart_1_TARIFF_B">'ТС. Т-ТЭ | ТСО'!$AD$43</definedName>
    <definedName name="tblStart_1_TARIFF_B_COLDVSNA">'ХВС. Т-тех'!$AC$41</definedName>
    <definedName name="tblStart_1_TARIFF_B_HOTVSNA">'ГВС. Т-транс'!$AG$42</definedName>
    <definedName name="tblStart_1_TARIFF_B_VOTV">'ВО. Т-транс'!$AC$41</definedName>
    <definedName name="tblStart_1_TARIFF_C">'ТС. Т-ТН'!$AD$43</definedName>
    <definedName name="tblStart_1_TARIFF_C_COLDVSNA">'ХВС. Т-транс'!$AC$41</definedName>
    <definedName name="tblStart_1_TARIFF_C_HOTVSNA">'ГВС. Т-подкл'!$AD$46</definedName>
    <definedName name="tblStart_1_TARIFF_C_VOTV">'ВО. Т-подкл'!$AD$46</definedName>
    <definedName name="tblStart_1_TARIFF_D">'ТС. Т-гор.вода'!$AG$49</definedName>
    <definedName name="tblStart_1_TARIFF_D_COLDVSNA">'ХВС. Т-подвоз'!$AC$41</definedName>
    <definedName name="tblStart_1_TARIFF_E_COLDVSNA">'ХВС. Т-подкл'!$AD$46</definedName>
    <definedName name="tblStart_1_TARIFF_E1">'ТС. Т-передача ТЭ'!$AD$43</definedName>
    <definedName name="tblStart_1_TARIFF_E2">'ТС. Т-передача ТН'!$AD$43</definedName>
    <definedName name="tblStart_1_TARIFF_F">'ТС. Резерв мощности'!$AD$43</definedName>
    <definedName name="tblStart_1_TARIFF_G">'ТС. Т-подкл'!$AB$45</definedName>
    <definedName name="tblStart_1_TARIFF_H">'ТС. Т-подкл(инд)'!$AB$42</definedName>
    <definedName name="tblStart_1_TARIFF_I">'ТС. Т-ТЭ | предел'!$AD$43</definedName>
    <definedName name="tblStart_1_TARIFF_I_1">'ТС. Т-ТЭ | индикат'!$AD$43</definedName>
    <definedName name="tblStart_1_TERRITORY">'Список территорий'!$G$12</definedName>
    <definedName name="TECH_ORG_ID">Титульный!$F$1</definedName>
    <definedName name="TEMPLATE_DATA_POINT">DATA_NPA!$T$11:$X$16</definedName>
    <definedName name="TEMPLATE_DATA_POINT_FHD">DATA_NPA!$T$18:$W$146</definedName>
    <definedName name="TEMPLATE_GROUP">TEHSHEET!$E$45</definedName>
    <definedName name="TEMPLATE_NAME_FORM_LIST">DATA_FORMS!$D$3:$H$35</definedName>
    <definedName name="TEMPLATE_NOTE_POINT">DATA_NPA!$Z$11:$AD$15</definedName>
    <definedName name="TEMPLATE_NOTE_POINT_FHD">DATA_NPA!$Z$18:$AD$146</definedName>
    <definedName name="TEMPLATE_NUMBER_FORM_LIST">DATA_FORMS!$D$2:$H$2</definedName>
    <definedName name="TEMPLATE_NUMBER_POINT_FHD">DATA_NPA!$O$18:$S$146</definedName>
    <definedName name="TEMPLATE_ORG_DATA_POINT">DATA_NPA!$Z$3:$AD$9</definedName>
    <definedName name="TEMPLATE_SPHERE">TEHSHEET!$E$36</definedName>
    <definedName name="TEMPLATE_SPHERE_LIST">DATA_FORMS!$D$1:$H$1</definedName>
    <definedName name="TEMPLATE_SPHERE_LIST_FOR_NOTE">DATA_NPA!$Z$2:$AD$2</definedName>
    <definedName name="TEMPLATE_SPHERE_LIST_FOR_NPA">DATA_NPA!$T$2:$X$2</definedName>
    <definedName name="TEMPLATE_SPHERE_RUS">TEHSHEET!$F$36</definedName>
    <definedName name="TEMPLATE_SPHERE_RUS_2">TEHSHEET!$G$36</definedName>
    <definedName name="TemplateState">TEHSHEET!$E$16</definedName>
    <definedName name="ter_1">'Список территорий'!$G$13:$I$13</definedName>
    <definedName name="TER_ID">TEHSHEET!$E$62</definedName>
    <definedName name="TERMS_LINK">Договоры!$F$12:$F$22</definedName>
    <definedName name="TERMS_NAME_FORM">DATA_FORMS!$C$5</definedName>
    <definedName name="TERMS_NUM_CONTRACT_COLUMN_MARKER">Договоры!$D$8</definedName>
    <definedName name="TERMS_P_1">DATA_NPA!$M$148</definedName>
    <definedName name="TERMS_TKO_TRANS_DATA">Договоры!$E$25:$F$26</definedName>
    <definedName name="TERRITORY_CheckC">'Список территорий'!$E$11:$I$15</definedName>
    <definedName name="TERRITORY_ID">TEHSHEET!$E$56</definedName>
    <definedName name="TERRITORY_LIST_ID">'Список территорий'!$F$11:$F$15</definedName>
    <definedName name="TERRITORY_MO_LIST">'Список территорий'!$H$11:$H$15</definedName>
    <definedName name="TERRITORY_MR_LIST">'Список территорий'!$G$11:$G$15</definedName>
    <definedName name="TERRITORY_NAME_COL">'Список территорий'!$G$1:$I$1</definedName>
    <definedName name="TERRITORY_POINT_NUMBER_1">'Список территорий'!$A:$A</definedName>
    <definedName name="TITLE_BUHG_FLAG">Титульный!$F$53</definedName>
    <definedName name="TITLE_CONNECTION_FLAG">Титульный!$F$49</definedName>
    <definedName name="TITLE_DATA_TYPE">Титульный!$F$17</definedName>
    <definedName name="TITLE_DATE_BUHG">Титульный!$F$54</definedName>
    <definedName name="TITLE_DATE_CHANGE">Титульный!$F$18</definedName>
    <definedName name="TITLE_DATE_CHANGE_PERIOD">Титульный!$F$19</definedName>
    <definedName name="TITLE_DATE_FIL">Титульный!$F$13</definedName>
    <definedName name="TITLE_DATE_PARKING">Титульный!$H$5</definedName>
    <definedName name="TITLE_DATE_PR">Титульный!$F$21</definedName>
    <definedName name="TITLE_DATE_PR_CHANGE">Титульный!$F$26</definedName>
    <definedName name="TITLE_DIFFERENTIATION_TYPE">Титульный!$F$41</definedName>
    <definedName name="TITLE_FIL_YEAR">Титульный!$F$14</definedName>
    <definedName name="TITLE_FLAG_DIFF_SELLER">Титульный!$F$46</definedName>
    <definedName name="TITLE_FLAG_INTERNET">Титульный!$F$39</definedName>
    <definedName name="TITLE_FLAG_IP">Титульный!$F$58</definedName>
    <definedName name="TITLE_FLAG_IP_DETAILED">Титульный!$F$60</definedName>
    <definedName name="TITLE_FLAG_NO_DIFF_COMPONENT">Титульный!$F$47</definedName>
    <definedName name="TITLE_FLAG_NOT_REG_PRICE">Титульный!$F$51</definedName>
    <definedName name="TITLE_FLAG_OTV_ROIV">Титульный!$F$10</definedName>
    <definedName name="TITLE_FLAG_REG_PRICE_IP">Титульный!$F$59</definedName>
    <definedName name="TITLE_FLAG_TKO_TRANS">Титульный!$F$62</definedName>
    <definedName name="TITLE_FLAG_TOP80_ACTIVITY">Титульный!$F$56</definedName>
    <definedName name="TITLE_HEADER_PR_CHANGE">Титульный!$F$25</definedName>
    <definedName name="TITLE_IP_DETAILED_METHOD_LIST">TEHSHEET!$AZ$15:$AZ$17</definedName>
    <definedName name="TITLE_IST_PUB">Титульный!$F$24</definedName>
    <definedName name="TITLE_IST_PUB_CHANGE">Титульный!$F$29</definedName>
    <definedName name="TITLE_NAME_OR_PR">Титульный!$F$23</definedName>
    <definedName name="TITLE_NAME_OR_PR_CHANGE">Титульный!$F$28</definedName>
    <definedName name="TITLE_NUMBER_PR">Титульный!$F$22</definedName>
    <definedName name="TITLE_NUMBER_PR_CHANGE">Титульный!$F$27</definedName>
    <definedName name="TITLE_PERIOD_END">Титульный!$F$12</definedName>
    <definedName name="TITLE_PERIOD_START">Титульный!$F$11</definedName>
    <definedName name="TITLE_PRICE_INDICATORS_GRAPH">Титульный!$F$44</definedName>
    <definedName name="TITLE_PRICE_INDICATORS_LEVEL">Титульный!$F$43</definedName>
    <definedName name="TITLE_STRUCTURE_INFO_ROIV">Титульный!$F$9</definedName>
    <definedName name="TITLE_TYPE_ORG">Титульный!$F$36</definedName>
    <definedName name="TKO_PT_VED_ID">TEHSHEET!$CC$19:$CC$24</definedName>
    <definedName name="TKO_PT_VED_NAME">TEHSHEET!$CD$19:$CD$24</definedName>
    <definedName name="TKO_PT_VED_NAME_LIST">TEHSHEET!$CC$19:$CD$24</definedName>
    <definedName name="TP_NAME_FORM">DATA_FORMS!$C$3</definedName>
    <definedName name="TP_NUMBER_FORM">DATA_FORMS!$C$2</definedName>
    <definedName name="TP_P_A">DATA_NPA!$M$11</definedName>
    <definedName name="TP_P_B">DATA_NPA!$M$12</definedName>
    <definedName name="TP_P_G">DATA_NPA!$M$15</definedName>
    <definedName name="TP_P_NOTE_A">DATA_NPA!$N$11</definedName>
    <definedName name="TP_P_NOTE_B">DATA_NPA!$N$12</definedName>
    <definedName name="TP_P_NOTE_G">DATA_NPA!$N$15</definedName>
    <definedName name="TP_P_NOTE_G_1">DATA_NPA!$N$16</definedName>
    <definedName name="TP_P_NOTE_V">DATA_NPA!$N$13</definedName>
    <definedName name="TP_P_NOTE_V_1">DATA_NPA!$N$14</definedName>
    <definedName name="TP_P_V">DATA_NPA!$M$13</definedName>
    <definedName name="TP_P_V_1">DATA_NPA!$M$14</definedName>
    <definedName name="TYPE_TKO_LIST">TEHSHEET!$AZ$85:$AZ$87</definedName>
    <definedName name="UNIT_CONNECT_LIST">TEHSHEET!$AZ$106:$AZ$108</definedName>
    <definedName name="VD_ID_LIST">REESTR_VED!$A$2:$A$11</definedName>
    <definedName name="VD_LIST">REESTR_VED!$A$2:$B$11</definedName>
    <definedName name="VD_NAME_LIST">REESTR_VED!$B$2:$B$11</definedName>
    <definedName name="VDET_END_DATE">TEHSHEET!$F$32</definedName>
    <definedName name="VDET_START_DATE">TEHSHEET!$E$32</definedName>
    <definedName name="version">Инструкция!$B$3</definedName>
    <definedName name="VOTV_FIN_SRC_LIST">TEHSHEET!$BL$4:$BL$36</definedName>
    <definedName name="VOTV_FIN_SRC_VLD_LIST">TEHSHEET!$BL$39:$BL$62</definedName>
    <definedName name="VOTV_IP_EVENT_CI_STAGE_LIST">TEHSHEET!$BL$97:$BL$100</definedName>
    <definedName name="VOTV_IP_EVENT_GROUP_LIST">TEHSHEET!$BL$69:$BL$76</definedName>
    <definedName name="VOTV_IP_EVENT_SUBGROUP_1_LIST">TEHSHEET!$BL$80:$BL$83</definedName>
    <definedName name="VOTV_IP_EVENT_SUBGROUP_3_LIST">TEHSHEET!$BL$87:$BL$88</definedName>
    <definedName name="VOTV_IP_EVENT_SUBGROUP_5_LIST">TEHSHEET!$BL$92:$BL$93</definedName>
    <definedName name="VOTV_IP_EVENT_TYPE_LIST">TEHSHEET!$BL$108</definedName>
    <definedName name="VOTV_PT_VED_ID">TEHSHEET!$BZ$19:$BZ$21</definedName>
    <definedName name="VOTV_PT_VED_NAME">TEHSHEET!$CA$19:$CA$21</definedName>
    <definedName name="VOTV_PT_VED_NAME_LIST">TEHSHEET!$BZ$19:$CA$21</definedName>
    <definedName name="VOTV_TARIFF_A_VOTV_ADD_HL_COLUMN_MARKER">'ВО. Т-во'!$T$34</definedName>
    <definedName name="VOTV_TARIFF_A_VOTV_DEL_HL_DATA_DIFF_COLUMN_MARKER">'ВО. Т-во'!$R$34</definedName>
    <definedName name="VOTV_TARIFF_A_VOTV_DEL_HL_FLAG_DIFF_COLUMN_MARKER">'ВО. Т-во'!$P$34</definedName>
    <definedName name="VOTV_TARIFF_A_VOTV_DEL_HL_GC_COLUMN_MARKER">'ВО. Т-во'!$Q$34</definedName>
    <definedName name="VOTV_TARIFF_A_VOTV_DELETE_PERIOD_ROW_MARKER">'ВО. Т-во'!$O$35</definedName>
    <definedName name="VOTV_TARIFF_A_VOTV_FLAG_BLOCK_COLUMN_MARKER">'ВО. Т-во'!$L$36</definedName>
    <definedName name="VOTV_TARIFF_A_VOTV_FLAG_BLOCK_ROW_MARKER">'ВО. Т-во'!$O$20</definedName>
    <definedName name="VOTV_TARIFF_A_VOTV_NUM_CS_COLUMN_MARKER">'ВО. Т-во'!$G$36</definedName>
    <definedName name="VOTV_TARIFF_A_VOTV_NUM_DATA_DIFF_COLUMN_MARKER">'ВО. Т-во'!$K$36</definedName>
    <definedName name="VOTV_TARIFF_A_VOTV_NUM_FLAG_DIFF_COLUMN_MARKER">'ВО. Т-во'!$I$36</definedName>
    <definedName name="VOTV_TARIFF_A_VOTV_NUM_GC_COLUMN_MARKER">'ВО. Т-во'!$J$36</definedName>
    <definedName name="VOTV_TARIFF_A_VOTV_NUM_NTAR_COLUMN_MARKER">'ВО. Т-во'!$E$36</definedName>
    <definedName name="VOTV_TARIFF_A_VOTV_NUM_TER_COLUMN_MARKER">'ВО. Т-во'!$F$36</definedName>
    <definedName name="VOTV_TARIFF_B_VOTV_ADD_HL_COLUMN_MARKER">'ВО. Т-транс'!$T$34</definedName>
    <definedName name="VOTV_TARIFF_B_VOTV_DEL_HL_DATA_DIFF_COLUMN_MARKER">'ВО. Т-транс'!$R$34</definedName>
    <definedName name="VOTV_TARIFF_B_VOTV_DEL_HL_FLAG_DIFF_COLUMN_MARKER">'ВО. Т-транс'!$P$34</definedName>
    <definedName name="VOTV_TARIFF_B_VOTV_DEL_HL_GC_COLUMN_MARKER">'ВО. Т-транс'!$Q$34</definedName>
    <definedName name="VOTV_TARIFF_B_VOTV_DELETE_PERIOD_ROW_MARKER">'ВО. Т-транс'!$O$35</definedName>
    <definedName name="VOTV_TARIFF_B_VOTV_FLAG_BLOCK_COLUMN_MARKER">'ВО. Т-транс'!$L$36</definedName>
    <definedName name="VOTV_TARIFF_B_VOTV_FLAG_BLOCK_ROW_MARKER">'ВО. Т-транс'!$O$20</definedName>
    <definedName name="VOTV_TARIFF_B_VOTV_NUM_CS_COLUMN_MARKER">'ВО. Т-транс'!$G$36</definedName>
    <definedName name="VOTV_TARIFF_B_VOTV_NUM_DATA_DIFF_COLUMN_MARKER">'ВО. Т-транс'!$K$36</definedName>
    <definedName name="VOTV_TARIFF_B_VOTV_NUM_FLAG_DIFF_COLUMN_MARKER">'ВО. Т-транс'!$I$36</definedName>
    <definedName name="VOTV_TARIFF_B_VOTV_NUM_GC_COLUMN_MARKER">'ВО. Т-транс'!$J$36</definedName>
    <definedName name="VOTV_TARIFF_B_VOTV_NUM_NTAR_COLUMN_MARKER">'ВО. Т-транс'!$E$36</definedName>
    <definedName name="VOTV_TARIFF_B_VOTV_NUM_TER_COLUMN_MARKER">'ВО. Т-транс'!$F$36</definedName>
    <definedName name="VOTV_TARIFF_C_VOTV_ADD_HL_COLUMN_MARKER">'ВО. Т-подкл'!$T$38</definedName>
    <definedName name="VOTV_TARIFF_C_VOTV_ADD_HL_DIAMETERS_COLUMN_MARKER">'ВО. Т-подкл'!$AK$38</definedName>
    <definedName name="VOTV_TARIFF_C_VOTV_ADD_HL_LEN_COLUMN_MARKER">'ВО. Т-подкл'!$AO$38</definedName>
    <definedName name="VOTV_TARIFF_C_VOTV_ADD_HL_LOAD_COLUMN_MARKER">'ВО. Т-подкл'!$AG$38</definedName>
    <definedName name="VOTV_TARIFF_C_VOTV_ADD_HL_NETS_COLUMN_MARKER">'ВО. Т-подкл'!$AS$38</definedName>
    <definedName name="VOTV_TARIFF_C_VOTV_DEL_HL_DATA_DIFF_COLUMN_MARKER">'ВО. Т-подкл'!$R$38</definedName>
    <definedName name="VOTV_TARIFF_C_VOTV_DEL_HL_DIAMETERS_COLUMN_MARKER">'ВО. Т-подкл'!$AI$38</definedName>
    <definedName name="VOTV_TARIFF_C_VOTV_DEL_HL_FLAG_DIFF_COLUMN_MARKER">'ВО. Т-подкл'!$P$38</definedName>
    <definedName name="VOTV_TARIFF_C_VOTV_DEL_HL_GC_COLUMN_MARKER">'ВО. Т-подкл'!$Q$38</definedName>
    <definedName name="VOTV_TARIFF_C_VOTV_DEL_HL_LEN_COLUMN_MARKER">'ВО. Т-подкл'!$AM$38</definedName>
    <definedName name="VOTV_TARIFF_C_VOTV_DEL_HL_LOAD_COLUMN_MARKER">'ВО. Т-подкл'!$AE$38</definedName>
    <definedName name="VOTV_TARIFF_C_VOTV_DEL_HL_NETS_COLUMN_MARKER">'ВО. Т-подкл'!$AQ$38</definedName>
    <definedName name="VOTV_TARIFF_C_VOTV_DELETE_PERIOD_ROW_MARKER">'ВО. Т-подкл'!$O$39</definedName>
    <definedName name="VOTV_TARIFF_C_VOTV_FLAG_BLOCK_COLUMN_MARKER">'ВО. Т-подкл'!$L$44</definedName>
    <definedName name="VOTV_TARIFF_C_VOTV_FLAG_BLOCK_ROW_MARKER">'ВО. Т-подкл'!$O$24</definedName>
    <definedName name="VOTV_TARIFF_C_VOTV_NUM_CS_COLUMN_MARKER">'ВО. Т-подкл'!$G$44</definedName>
    <definedName name="VOTV_TARIFF_C_VOTV_NUM_DATA_DIFF_COLUMN_MARKER">'ВО. Т-подкл'!$K$44</definedName>
    <definedName name="VOTV_TARIFF_C_VOTV_NUM_DIAMETERS_COLUMN_MARKER">'ВО. Т-подкл'!$AJ$38</definedName>
    <definedName name="VOTV_TARIFF_C_VOTV_NUM_FLAG_DIFF_COLUMN_MARKER">'ВО. Т-подкл'!$I$44</definedName>
    <definedName name="VOTV_TARIFF_C_VOTV_NUM_GC_COLUMN_MARKER">'ВО. Т-подкл'!$J$44</definedName>
    <definedName name="VOTV_TARIFF_C_VOTV_NUM_LEN_COLUMN_MARKER">'ВО. Т-подкл'!$AN$38</definedName>
    <definedName name="VOTV_TARIFF_C_VOTV_NUM_LOAD_COLUMN_MARKER">'ВО. Т-подкл'!$AF$38</definedName>
    <definedName name="VOTV_TARIFF_C_VOTV_NUM_NETS_COLUMN_MARKER">'ВО. Т-подкл'!$AR$38</definedName>
    <definedName name="VOTV_TARIFF_C_VOTV_NUM_NTAR_COLUMN_MARKER">'ВО. Т-подкл'!$E$44</definedName>
    <definedName name="VOTV_TARIFF_C_VOTV_NUM_TER_COLUMN_MARKER">'ВО. Т-подкл'!$F$44</definedName>
    <definedName name="VSNA_FIN_SRC_LIST">TEHSHEET!$BJ$4:$BJ$34</definedName>
    <definedName name="VSNA_FIN_SRC_VLD_LIST">TEHSHEET!$BJ$39:$BJ$60</definedName>
    <definedName name="VSNA_IP_EVENT_CI_STAGE_LIST">TEHSHEET!$BJ$97:$BJ$100</definedName>
    <definedName name="VSNA_IP_EVENT_GROUP_LIST">TEHSHEET!$BJ$69:$BJ$76</definedName>
    <definedName name="VSNA_IP_EVENT_SUBGROUP_1_LIST">TEHSHEET!$BJ$80:$BJ$83</definedName>
    <definedName name="VSNA_IP_EVENT_SUBGROUP_3_LIST">TEHSHEET!$BJ$87:$BJ$88</definedName>
    <definedName name="VSNA_IP_EVENT_SUBGROUP_5_LIST">TEHSHEET!$BJ$92:$BJ$93</definedName>
    <definedName name="VSNA_IP_EVENT_TYPE_LIST">TEHSHEET!$BJ$108</definedName>
    <definedName name="VTAR_ID">TEHSHEET!$E$59</definedName>
    <definedName name="Y_N_DIFFERENTIATION_AREA">Дифференциация!$F$12:$F$16</definedName>
    <definedName name="Y_N_DIFFERENTIATION_SYSTEM">Дифференциация!$J$12:$J$16</definedName>
    <definedName name="YEAR_IP_LIST">TEHSHEET!$BE$2:$BE$72</definedName>
    <definedName name="year_list">TEHSHEET!$C$2:$C$6</definedName>
    <definedName name="year_list1">TEHSHEET!$B$2:$B$27</definedName>
  </definedNames>
  <calcPr calcId="152511" iterate="1"/>
</workbook>
</file>

<file path=xl/calcChain.xml><?xml version="1.0" encoding="utf-8"?>
<calcChain xmlns="http://schemas.openxmlformats.org/spreadsheetml/2006/main">
  <c r="AA32" i="64" l="1"/>
  <c r="AA31" i="64"/>
  <c r="AA30" i="64"/>
  <c r="AA29" i="64"/>
  <c r="AA28" i="64"/>
  <c r="AA27" i="64"/>
  <c r="AA26" i="64"/>
  <c r="R26" i="64"/>
  <c r="AA25" i="64"/>
  <c r="AA24" i="64"/>
  <c r="AA23" i="64"/>
  <c r="AA22" i="64"/>
  <c r="AA21" i="64"/>
  <c r="AA20" i="64"/>
  <c r="AA19" i="64"/>
  <c r="R18" i="64"/>
  <c r="S18" i="64" s="1"/>
  <c r="T18" i="64" s="1"/>
  <c r="V18" i="64" s="1"/>
  <c r="W18" i="64" s="1"/>
  <c r="X18" i="64" s="1"/>
  <c r="Q18" i="64"/>
  <c r="N18" i="64"/>
  <c r="O18" i="64" s="1"/>
  <c r="O11" i="64"/>
  <c r="O10" i="64"/>
  <c r="O9" i="64"/>
  <c r="O8" i="64"/>
  <c r="L6" i="64"/>
  <c r="M148" i="63"/>
  <c r="M101" i="63"/>
  <c r="K101" i="63"/>
  <c r="N101" i="63" s="1"/>
  <c r="J101" i="63"/>
  <c r="I101" i="63"/>
  <c r="L101" i="63" s="1"/>
  <c r="M100" i="63"/>
  <c r="K100" i="63"/>
  <c r="N100" i="63" s="1"/>
  <c r="J100" i="63"/>
  <c r="I100" i="63"/>
  <c r="L100" i="63" s="1"/>
  <c r="M99" i="63"/>
  <c r="K99" i="63"/>
  <c r="N99" i="63" s="1"/>
  <c r="J99" i="63"/>
  <c r="I99" i="63"/>
  <c r="L99" i="63" s="1"/>
  <c r="M98" i="63"/>
  <c r="K98" i="63"/>
  <c r="N98" i="63" s="1"/>
  <c r="J98" i="63"/>
  <c r="I98" i="63"/>
  <c r="L98" i="63" s="1"/>
  <c r="M97" i="63"/>
  <c r="K97" i="63"/>
  <c r="N97" i="63" s="1"/>
  <c r="J97" i="63"/>
  <c r="I97" i="63"/>
  <c r="L97" i="63" s="1"/>
  <c r="M96" i="63"/>
  <c r="K96" i="63"/>
  <c r="N96" i="63" s="1"/>
  <c r="J96" i="63"/>
  <c r="I96" i="63"/>
  <c r="L96" i="63" s="1"/>
  <c r="M95" i="63"/>
  <c r="K95" i="63"/>
  <c r="N95" i="63" s="1"/>
  <c r="J95" i="63"/>
  <c r="I95" i="63"/>
  <c r="L95" i="63" s="1"/>
  <c r="M94" i="63"/>
  <c r="K94" i="63"/>
  <c r="N94" i="63" s="1"/>
  <c r="J94" i="63"/>
  <c r="I94" i="63"/>
  <c r="L94" i="63" s="1"/>
  <c r="M93" i="63"/>
  <c r="K93" i="63"/>
  <c r="N93" i="63" s="1"/>
  <c r="J93" i="63"/>
  <c r="I93" i="63"/>
  <c r="L93" i="63" s="1"/>
  <c r="M92" i="63"/>
  <c r="K92" i="63"/>
  <c r="N92" i="63" s="1"/>
  <c r="J92" i="63"/>
  <c r="I92" i="63"/>
  <c r="L92" i="63" s="1"/>
  <c r="M91" i="63"/>
  <c r="K91" i="63"/>
  <c r="N91" i="63" s="1"/>
  <c r="J91" i="63"/>
  <c r="I91" i="63"/>
  <c r="L91" i="63" s="1"/>
  <c r="M90" i="63"/>
  <c r="K90" i="63"/>
  <c r="N90" i="63" s="1"/>
  <c r="J90" i="63"/>
  <c r="I90" i="63"/>
  <c r="L90" i="63" s="1"/>
  <c r="M89" i="63"/>
  <c r="K89" i="63"/>
  <c r="N89" i="63" s="1"/>
  <c r="J89" i="63"/>
  <c r="I89" i="63"/>
  <c r="L89" i="63" s="1"/>
  <c r="M88" i="63"/>
  <c r="K88" i="63"/>
  <c r="N88" i="63" s="1"/>
  <c r="J88" i="63"/>
  <c r="I88" i="63"/>
  <c r="L88" i="63" s="1"/>
  <c r="M87" i="63"/>
  <c r="K87" i="63"/>
  <c r="N87" i="63" s="1"/>
  <c r="J87" i="63"/>
  <c r="I87" i="63"/>
  <c r="L87" i="63" s="1"/>
  <c r="M86" i="63"/>
  <c r="K86" i="63"/>
  <c r="N86" i="63" s="1"/>
  <c r="J86" i="63"/>
  <c r="I86" i="63"/>
  <c r="L86" i="63" s="1"/>
  <c r="M85" i="63"/>
  <c r="K85" i="63"/>
  <c r="N85" i="63" s="1"/>
  <c r="J85" i="63"/>
  <c r="I85" i="63"/>
  <c r="L85" i="63" s="1"/>
  <c r="M84" i="63"/>
  <c r="K84" i="63"/>
  <c r="N84" i="63" s="1"/>
  <c r="J84" i="63"/>
  <c r="I84" i="63"/>
  <c r="L84" i="63" s="1"/>
  <c r="M83" i="63"/>
  <c r="K83" i="63"/>
  <c r="N83" i="63" s="1"/>
  <c r="J83" i="63"/>
  <c r="I83" i="63"/>
  <c r="L83" i="63" s="1"/>
  <c r="M82" i="63"/>
  <c r="K82" i="63"/>
  <c r="N82" i="63" s="1"/>
  <c r="J82" i="63"/>
  <c r="I82" i="63"/>
  <c r="L82" i="63" s="1"/>
  <c r="M81" i="63"/>
  <c r="K81" i="63"/>
  <c r="N81" i="63" s="1"/>
  <c r="J81" i="63"/>
  <c r="I81" i="63"/>
  <c r="L81" i="63" s="1"/>
  <c r="M80" i="63"/>
  <c r="K80" i="63"/>
  <c r="N80" i="63" s="1"/>
  <c r="J80" i="63"/>
  <c r="I80" i="63"/>
  <c r="L80" i="63" s="1"/>
  <c r="M79" i="63"/>
  <c r="K79" i="63"/>
  <c r="N79" i="63" s="1"/>
  <c r="J79" i="63"/>
  <c r="I79" i="63"/>
  <c r="L79" i="63" s="1"/>
  <c r="M78" i="63"/>
  <c r="K78" i="63"/>
  <c r="N78" i="63" s="1"/>
  <c r="J78" i="63"/>
  <c r="I78" i="63"/>
  <c r="L78" i="63" s="1"/>
  <c r="M77" i="63"/>
  <c r="K77" i="63"/>
  <c r="N77" i="63" s="1"/>
  <c r="J77" i="63"/>
  <c r="I77" i="63"/>
  <c r="L77" i="63" s="1"/>
  <c r="M76" i="63"/>
  <c r="K76" i="63"/>
  <c r="N76" i="63" s="1"/>
  <c r="J76" i="63"/>
  <c r="I76" i="63"/>
  <c r="L76" i="63" s="1"/>
  <c r="M75" i="63"/>
  <c r="K75" i="63"/>
  <c r="N75" i="63" s="1"/>
  <c r="J75" i="63"/>
  <c r="I75" i="63"/>
  <c r="L75" i="63" s="1"/>
  <c r="M74" i="63"/>
  <c r="K74" i="63"/>
  <c r="N74" i="63" s="1"/>
  <c r="J74" i="63"/>
  <c r="I74" i="63"/>
  <c r="L74" i="63" s="1"/>
  <c r="M73" i="63"/>
  <c r="K73" i="63"/>
  <c r="N73" i="63" s="1"/>
  <c r="J73" i="63"/>
  <c r="I73" i="63"/>
  <c r="L73" i="63" s="1"/>
  <c r="M72" i="63"/>
  <c r="K72" i="63"/>
  <c r="N72" i="63" s="1"/>
  <c r="J72" i="63"/>
  <c r="I72" i="63"/>
  <c r="L72" i="63" s="1"/>
  <c r="M71" i="63"/>
  <c r="K71" i="63"/>
  <c r="N71" i="63" s="1"/>
  <c r="J71" i="63"/>
  <c r="I71" i="63"/>
  <c r="L71" i="63" s="1"/>
  <c r="M70" i="63"/>
  <c r="K70" i="63"/>
  <c r="N70" i="63" s="1"/>
  <c r="J70" i="63"/>
  <c r="I70" i="63"/>
  <c r="L70" i="63" s="1"/>
  <c r="M69" i="63"/>
  <c r="K69" i="63"/>
  <c r="N69" i="63" s="1"/>
  <c r="J69" i="63"/>
  <c r="I69" i="63"/>
  <c r="L69" i="63" s="1"/>
  <c r="M68" i="63"/>
  <c r="K68" i="63"/>
  <c r="N68" i="63" s="1"/>
  <c r="J68" i="63"/>
  <c r="I68" i="63"/>
  <c r="L68" i="63" s="1"/>
  <c r="M67" i="63"/>
  <c r="K67" i="63"/>
  <c r="N67" i="63" s="1"/>
  <c r="J67" i="63"/>
  <c r="I67" i="63"/>
  <c r="L67" i="63" s="1"/>
  <c r="M66" i="63"/>
  <c r="K66" i="63"/>
  <c r="N66" i="63" s="1"/>
  <c r="J66" i="63"/>
  <c r="I66" i="63"/>
  <c r="L66" i="63" s="1"/>
  <c r="M65" i="63"/>
  <c r="K65" i="63"/>
  <c r="N65" i="63" s="1"/>
  <c r="J65" i="63"/>
  <c r="I65" i="63"/>
  <c r="L65" i="63" s="1"/>
  <c r="M64" i="63"/>
  <c r="K64" i="63"/>
  <c r="N64" i="63" s="1"/>
  <c r="J64" i="63"/>
  <c r="I64" i="63"/>
  <c r="L64" i="63" s="1"/>
  <c r="M63" i="63"/>
  <c r="K63" i="63"/>
  <c r="N63" i="63" s="1"/>
  <c r="J63" i="63"/>
  <c r="I63" i="63"/>
  <c r="L63" i="63" s="1"/>
  <c r="M62" i="63"/>
  <c r="K62" i="63"/>
  <c r="N62" i="63" s="1"/>
  <c r="J62" i="63"/>
  <c r="I62" i="63"/>
  <c r="L62" i="63" s="1"/>
  <c r="M61" i="63"/>
  <c r="K61" i="63"/>
  <c r="N61" i="63" s="1"/>
  <c r="J61" i="63"/>
  <c r="I61" i="63"/>
  <c r="L61" i="63" s="1"/>
  <c r="M60" i="63"/>
  <c r="K60" i="63"/>
  <c r="N60" i="63" s="1"/>
  <c r="J60" i="63"/>
  <c r="I60" i="63"/>
  <c r="L60" i="63" s="1"/>
  <c r="M59" i="63"/>
  <c r="K59" i="63"/>
  <c r="N59" i="63" s="1"/>
  <c r="J59" i="63"/>
  <c r="I59" i="63"/>
  <c r="L59" i="63" s="1"/>
  <c r="T58" i="63"/>
  <c r="N58" i="63"/>
  <c r="L58" i="63"/>
  <c r="K58" i="63"/>
  <c r="J58" i="63"/>
  <c r="M58" i="63" s="1"/>
  <c r="I58" i="63"/>
  <c r="T57" i="63"/>
  <c r="J57" i="63" s="1"/>
  <c r="M57" i="63" s="1"/>
  <c r="K57" i="63"/>
  <c r="N57" i="63" s="1"/>
  <c r="I57" i="63"/>
  <c r="L57" i="63" s="1"/>
  <c r="T56" i="63"/>
  <c r="N56" i="63"/>
  <c r="L56" i="63"/>
  <c r="K56" i="63"/>
  <c r="J56" i="63"/>
  <c r="M56" i="63" s="1"/>
  <c r="I56" i="63"/>
  <c r="T55" i="63"/>
  <c r="J55" i="63" s="1"/>
  <c r="M55" i="63" s="1"/>
  <c r="K55" i="63"/>
  <c r="N55" i="63" s="1"/>
  <c r="I55" i="63"/>
  <c r="L55" i="63" s="1"/>
  <c r="M54" i="63"/>
  <c r="K54" i="63"/>
  <c r="N54" i="63" s="1"/>
  <c r="J54" i="63"/>
  <c r="I54" i="63"/>
  <c r="L54" i="63" s="1"/>
  <c r="M53" i="63"/>
  <c r="K53" i="63"/>
  <c r="N53" i="63" s="1"/>
  <c r="J53" i="63"/>
  <c r="I53" i="63"/>
  <c r="L53" i="63" s="1"/>
  <c r="M52" i="63"/>
  <c r="K52" i="63"/>
  <c r="N52" i="63" s="1"/>
  <c r="J52" i="63"/>
  <c r="I52" i="63"/>
  <c r="L52" i="63" s="1"/>
  <c r="M51" i="63"/>
  <c r="K51" i="63"/>
  <c r="N51" i="63" s="1"/>
  <c r="J51" i="63"/>
  <c r="I51" i="63"/>
  <c r="L51" i="63" s="1"/>
  <c r="M50" i="63"/>
  <c r="K50" i="63"/>
  <c r="N50" i="63" s="1"/>
  <c r="J50" i="63"/>
  <c r="I50" i="63"/>
  <c r="L50" i="63" s="1"/>
  <c r="M49" i="63"/>
  <c r="K49" i="63"/>
  <c r="N49" i="63" s="1"/>
  <c r="J49" i="63"/>
  <c r="I49" i="63"/>
  <c r="L49" i="63" s="1"/>
  <c r="M48" i="63"/>
  <c r="K48" i="63"/>
  <c r="N48" i="63" s="1"/>
  <c r="J48" i="63"/>
  <c r="I48" i="63"/>
  <c r="L48" i="63" s="1"/>
  <c r="M47" i="63"/>
  <c r="K47" i="63"/>
  <c r="N47" i="63" s="1"/>
  <c r="J47" i="63"/>
  <c r="I47" i="63"/>
  <c r="L47" i="63" s="1"/>
  <c r="T46" i="63"/>
  <c r="N46" i="63"/>
  <c r="L46" i="63"/>
  <c r="K46" i="63"/>
  <c r="J46" i="63"/>
  <c r="M46" i="63" s="1"/>
  <c r="I46" i="63"/>
  <c r="N45" i="63"/>
  <c r="L45" i="63"/>
  <c r="K45" i="63"/>
  <c r="J45" i="63"/>
  <c r="M45" i="63" s="1"/>
  <c r="I45" i="63"/>
  <c r="N44" i="63"/>
  <c r="L44" i="63"/>
  <c r="K44" i="63"/>
  <c r="J44" i="63"/>
  <c r="M44" i="63" s="1"/>
  <c r="I44" i="63"/>
  <c r="N43" i="63"/>
  <c r="L43" i="63"/>
  <c r="K43" i="63"/>
  <c r="J43" i="63"/>
  <c r="M43" i="63" s="1"/>
  <c r="I43" i="63"/>
  <c r="N42" i="63"/>
  <c r="L42" i="63"/>
  <c r="K42" i="63"/>
  <c r="J42" i="63"/>
  <c r="M42" i="63" s="1"/>
  <c r="I42" i="63"/>
  <c r="N41" i="63"/>
  <c r="L41" i="63"/>
  <c r="K41" i="63"/>
  <c r="J41" i="63"/>
  <c r="M41" i="63" s="1"/>
  <c r="I41" i="63"/>
  <c r="N40" i="63"/>
  <c r="L40" i="63"/>
  <c r="K40" i="63"/>
  <c r="J40" i="63"/>
  <c r="M40" i="63" s="1"/>
  <c r="I40" i="63"/>
  <c r="N39" i="63"/>
  <c r="L39" i="63"/>
  <c r="K39" i="63"/>
  <c r="J39" i="63"/>
  <c r="M39" i="63" s="1"/>
  <c r="I39" i="63"/>
  <c r="N38" i="63"/>
  <c r="L38" i="63"/>
  <c r="K38" i="63"/>
  <c r="J38" i="63"/>
  <c r="M38" i="63" s="1"/>
  <c r="I38" i="63"/>
  <c r="N37" i="63"/>
  <c r="L37" i="63"/>
  <c r="K37" i="63"/>
  <c r="J37" i="63"/>
  <c r="M37" i="63" s="1"/>
  <c r="I37" i="63"/>
  <c r="N36" i="63"/>
  <c r="L36" i="63"/>
  <c r="K36" i="63"/>
  <c r="J36" i="63"/>
  <c r="M36" i="63" s="1"/>
  <c r="I36" i="63"/>
  <c r="T35" i="63"/>
  <c r="J35" i="63" s="1"/>
  <c r="M35" i="63" s="1"/>
  <c r="K35" i="63"/>
  <c r="N35" i="63" s="1"/>
  <c r="I35" i="63"/>
  <c r="L35" i="63" s="1"/>
  <c r="M34" i="63"/>
  <c r="K34" i="63"/>
  <c r="N34" i="63" s="1"/>
  <c r="J34" i="63"/>
  <c r="I34" i="63"/>
  <c r="L34" i="63" s="1"/>
  <c r="T33" i="63"/>
  <c r="N33" i="63"/>
  <c r="L33" i="63"/>
  <c r="K33" i="63"/>
  <c r="J33" i="63"/>
  <c r="M33" i="63" s="1"/>
  <c r="I33" i="63"/>
  <c r="T32" i="63"/>
  <c r="J32" i="63" s="1"/>
  <c r="M32" i="63"/>
  <c r="K32" i="63"/>
  <c r="N32" i="63" s="1"/>
  <c r="I32" i="63"/>
  <c r="L32" i="63" s="1"/>
  <c r="M31" i="63"/>
  <c r="K31" i="63"/>
  <c r="N31" i="63" s="1"/>
  <c r="J31" i="63"/>
  <c r="I31" i="63"/>
  <c r="L31" i="63" s="1"/>
  <c r="M30" i="63"/>
  <c r="K30" i="63"/>
  <c r="N30" i="63" s="1"/>
  <c r="J30" i="63"/>
  <c r="I30" i="63"/>
  <c r="L30" i="63" s="1"/>
  <c r="T29" i="63"/>
  <c r="N29" i="63"/>
  <c r="L29" i="63"/>
  <c r="K29" i="63"/>
  <c r="J29" i="63"/>
  <c r="M29" i="63" s="1"/>
  <c r="I29" i="63"/>
  <c r="N28" i="63"/>
  <c r="L28" i="63"/>
  <c r="K28" i="63"/>
  <c r="J28" i="63"/>
  <c r="M28" i="63" s="1"/>
  <c r="I28" i="63"/>
  <c r="N27" i="63"/>
  <c r="L27" i="63"/>
  <c r="K27" i="63"/>
  <c r="J27" i="63"/>
  <c r="M27" i="63" s="1"/>
  <c r="I27" i="63"/>
  <c r="T26" i="63"/>
  <c r="J26" i="63" s="1"/>
  <c r="M26" i="63"/>
  <c r="K26" i="63"/>
  <c r="N26" i="63" s="1"/>
  <c r="I26" i="63"/>
  <c r="L26" i="63" s="1"/>
  <c r="M25" i="63"/>
  <c r="K25" i="63"/>
  <c r="N25" i="63" s="1"/>
  <c r="J25" i="63"/>
  <c r="I25" i="63"/>
  <c r="L25" i="63" s="1"/>
  <c r="M24" i="63"/>
  <c r="K24" i="63"/>
  <c r="N24" i="63" s="1"/>
  <c r="J24" i="63"/>
  <c r="I24" i="63"/>
  <c r="L24" i="63" s="1"/>
  <c r="M23" i="63"/>
  <c r="K23" i="63"/>
  <c r="N23" i="63" s="1"/>
  <c r="J23" i="63"/>
  <c r="I23" i="63"/>
  <c r="L23" i="63" s="1"/>
  <c r="M22" i="63"/>
  <c r="K22" i="63"/>
  <c r="N22" i="63" s="1"/>
  <c r="J22" i="63"/>
  <c r="I22" i="63"/>
  <c r="L22" i="63" s="1"/>
  <c r="M21" i="63"/>
  <c r="K21" i="63"/>
  <c r="N21" i="63" s="1"/>
  <c r="J21" i="63"/>
  <c r="I21" i="63"/>
  <c r="L21" i="63" s="1"/>
  <c r="M20" i="63"/>
  <c r="L20" i="63"/>
  <c r="K20" i="63"/>
  <c r="N20" i="63" s="1"/>
  <c r="J20" i="63"/>
  <c r="I20" i="63"/>
  <c r="N19" i="63"/>
  <c r="M19" i="63"/>
  <c r="K19" i="63"/>
  <c r="J19" i="63"/>
  <c r="I19" i="63"/>
  <c r="L19" i="63" s="1"/>
  <c r="M18" i="63"/>
  <c r="K18" i="63"/>
  <c r="N18" i="63" s="1"/>
  <c r="J18" i="63"/>
  <c r="I18" i="63"/>
  <c r="L18" i="63" s="1"/>
  <c r="N16" i="63"/>
  <c r="N15" i="63"/>
  <c r="I19" i="45" s="1"/>
  <c r="M15" i="63"/>
  <c r="N14" i="63"/>
  <c r="M14" i="63"/>
  <c r="N13" i="63"/>
  <c r="M13" i="63"/>
  <c r="AA12" i="63"/>
  <c r="N12" i="63"/>
  <c r="M12" i="63"/>
  <c r="N11" i="63"/>
  <c r="M11" i="63"/>
  <c r="N3" i="63"/>
  <c r="C34" i="62"/>
  <c r="E32" i="62"/>
  <c r="C32" i="62"/>
  <c r="C31" i="62"/>
  <c r="E30" i="62"/>
  <c r="C30" i="62"/>
  <c r="C29" i="62"/>
  <c r="C8" i="62"/>
  <c r="C7" i="62"/>
  <c r="D6" i="62"/>
  <c r="C6" i="62"/>
  <c r="C5" i="62"/>
  <c r="C4" i="62"/>
  <c r="C3" i="62"/>
  <c r="C2" i="62"/>
  <c r="V202" i="61"/>
  <c r="N187" i="61"/>
  <c r="N182" i="61"/>
  <c r="N176" i="61"/>
  <c r="N165" i="61"/>
  <c r="N160" i="61"/>
  <c r="N154" i="61"/>
  <c r="R139" i="61"/>
  <c r="Q139" i="61"/>
  <c r="Q130" i="61"/>
  <c r="H129" i="61"/>
  <c r="H128" i="61"/>
  <c r="H127" i="61"/>
  <c r="Q121" i="61"/>
  <c r="Q118" i="61"/>
  <c r="H117" i="61"/>
  <c r="H116" i="61"/>
  <c r="H115" i="61"/>
  <c r="F109" i="61"/>
  <c r="AD103" i="61"/>
  <c r="AD97" i="61"/>
  <c r="AD92" i="61"/>
  <c r="F81" i="61"/>
  <c r="P72" i="61"/>
  <c r="D47" i="61"/>
  <c r="I29" i="61"/>
  <c r="I23" i="61"/>
  <c r="O19" i="61"/>
  <c r="M19" i="61" a="1"/>
  <c r="M19" i="61" s="1"/>
  <c r="F19" i="61"/>
  <c r="O14" i="61"/>
  <c r="M14" i="61" a="1"/>
  <c r="M14" i="61" s="1"/>
  <c r="F14" i="61"/>
  <c r="E14" i="61"/>
  <c r="G13" i="61"/>
  <c r="E13" i="61"/>
  <c r="F13" i="56"/>
  <c r="E7" i="56"/>
  <c r="F2" i="56"/>
  <c r="P10" i="55" a="1"/>
  <c r="P10" i="55"/>
  <c r="F10" i="55"/>
  <c r="K8" i="55"/>
  <c r="L10" i="55" s="1"/>
  <c r="R10" i="55" s="1"/>
  <c r="E5" i="55"/>
  <c r="R2" i="55"/>
  <c r="P2" i="55" a="1"/>
  <c r="P2" i="55"/>
  <c r="P10" i="54" a="1"/>
  <c r="P10" i="54"/>
  <c r="F10" i="54"/>
  <c r="K8" i="54"/>
  <c r="J8" i="54"/>
  <c r="G8" i="54"/>
  <c r="F8" i="54"/>
  <c r="E5" i="54"/>
  <c r="R2" i="54"/>
  <c r="P2" i="54" a="1"/>
  <c r="P2" i="54"/>
  <c r="P9" i="53"/>
  <c r="N9" i="53" a="1"/>
  <c r="N9" i="53"/>
  <c r="J9" i="53"/>
  <c r="E5" i="53"/>
  <c r="P2" i="53"/>
  <c r="N2" i="53" a="1"/>
  <c r="N2" i="53" s="1"/>
  <c r="G24" i="52"/>
  <c r="E24" i="52"/>
  <c r="G12" i="52"/>
  <c r="F12" i="52"/>
  <c r="F2" i="55" s="1"/>
  <c r="E12" i="52"/>
  <c r="D6" i="52"/>
  <c r="D5" i="52"/>
  <c r="BA115" i="51"/>
  <c r="BA114" i="51"/>
  <c r="BA113" i="51"/>
  <c r="BA102" i="51"/>
  <c r="BA100" i="51"/>
  <c r="BA99" i="51"/>
  <c r="I53" i="51"/>
  <c r="I52" i="51"/>
  <c r="H52" i="51"/>
  <c r="G52" i="51"/>
  <c r="I51" i="51"/>
  <c r="H51" i="51"/>
  <c r="G51" i="51"/>
  <c r="I50" i="51"/>
  <c r="I49" i="51"/>
  <c r="I48" i="51"/>
  <c r="I47" i="51"/>
  <c r="I46" i="51"/>
  <c r="K45" i="51"/>
  <c r="I45" i="51"/>
  <c r="G44" i="51"/>
  <c r="H53" i="51" s="1"/>
  <c r="G36" i="51"/>
  <c r="E31" i="62" s="1"/>
  <c r="F36" i="51"/>
  <c r="U15" i="63" s="1"/>
  <c r="E32" i="51"/>
  <c r="E29" i="51"/>
  <c r="L5" i="51"/>
  <c r="L6" i="51" s="1"/>
  <c r="L4" i="51"/>
  <c r="L3" i="51"/>
  <c r="I14" i="50"/>
  <c r="G14" i="50"/>
  <c r="G11" i="50"/>
  <c r="G10" i="50"/>
  <c r="G9" i="50"/>
  <c r="D6" i="50"/>
  <c r="E13" i="49"/>
  <c r="H12" i="49"/>
  <c r="E12" i="49"/>
  <c r="E11" i="49"/>
  <c r="E10" i="49"/>
  <c r="D6" i="49"/>
  <c r="D5" i="49"/>
  <c r="M326" i="48"/>
  <c r="F325" i="48"/>
  <c r="M251" i="48"/>
  <c r="F250" i="48"/>
  <c r="M176" i="48"/>
  <c r="F175" i="48"/>
  <c r="M101" i="48"/>
  <c r="F98" i="48"/>
  <c r="M24" i="48"/>
  <c r="F23" i="48"/>
  <c r="G17" i="48"/>
  <c r="F17" i="48"/>
  <c r="G16" i="48"/>
  <c r="F16" i="48"/>
  <c r="E14" i="48"/>
  <c r="N7" i="48"/>
  <c r="N4" i="48"/>
  <c r="N1" i="48"/>
  <c r="E42" i="47"/>
  <c r="E38" i="47"/>
  <c r="E35" i="47"/>
  <c r="E32" i="47"/>
  <c r="E31" i="47"/>
  <c r="E28" i="47"/>
  <c r="E25" i="47"/>
  <c r="E24" i="47"/>
  <c r="D15" i="47"/>
  <c r="D14" i="47"/>
  <c r="G17" i="46"/>
  <c r="E16" i="46"/>
  <c r="G14" i="46"/>
  <c r="E13" i="46"/>
  <c r="E12" i="46"/>
  <c r="D6" i="46"/>
  <c r="D5" i="46"/>
  <c r="I21" i="45"/>
  <c r="F21" i="45"/>
  <c r="H19" i="45"/>
  <c r="G19" i="45"/>
  <c r="F19" i="45"/>
  <c r="E19" i="45"/>
  <c r="I18" i="45"/>
  <c r="E18" i="45"/>
  <c r="I17" i="45"/>
  <c r="E17" i="45"/>
  <c r="I16" i="45"/>
  <c r="E16" i="45"/>
  <c r="I15" i="45"/>
  <c r="E15" i="45"/>
  <c r="H14" i="45"/>
  <c r="G14" i="45"/>
  <c r="G11" i="45"/>
  <c r="G10" i="45"/>
  <c r="G9" i="45"/>
  <c r="D6" i="45"/>
  <c r="D5" i="45"/>
  <c r="F2" i="45"/>
  <c r="F6" i="44"/>
  <c r="F5" i="44"/>
  <c r="H57" i="43"/>
  <c r="H56" i="43"/>
  <c r="H55" i="43"/>
  <c r="I54" i="43"/>
  <c r="H54" i="43" s="1"/>
  <c r="H53" i="43"/>
  <c r="H52" i="43"/>
  <c r="H51" i="43"/>
  <c r="H50" i="43"/>
  <c r="I49" i="43"/>
  <c r="H49" i="43"/>
  <c r="H47" i="43"/>
  <c r="H46" i="43"/>
  <c r="H45" i="43"/>
  <c r="I44" i="43"/>
  <c r="H44" i="43" s="1"/>
  <c r="H43" i="43"/>
  <c r="H42" i="43"/>
  <c r="H41" i="43"/>
  <c r="H40" i="43"/>
  <c r="I39" i="43"/>
  <c r="H39" i="43" s="1"/>
  <c r="H35" i="43"/>
  <c r="H34" i="43"/>
  <c r="H33" i="43"/>
  <c r="I32" i="43"/>
  <c r="H32" i="43" s="1"/>
  <c r="H31" i="43"/>
  <c r="H30" i="43"/>
  <c r="H29" i="43"/>
  <c r="I28" i="43"/>
  <c r="H28" i="43" s="1"/>
  <c r="H27" i="43"/>
  <c r="H26" i="43"/>
  <c r="H25" i="43"/>
  <c r="H24" i="43"/>
  <c r="H23" i="43"/>
  <c r="H22" i="43"/>
  <c r="H21" i="43"/>
  <c r="H20" i="43"/>
  <c r="H19" i="43"/>
  <c r="H18" i="43"/>
  <c r="H17" i="43"/>
  <c r="H16" i="43"/>
  <c r="I15" i="43"/>
  <c r="H15" i="43"/>
  <c r="H11" i="43"/>
  <c r="F6" i="43"/>
  <c r="F5" i="43"/>
  <c r="F6" i="42"/>
  <c r="F5" i="42"/>
  <c r="H15" i="41"/>
  <c r="F6" i="41"/>
  <c r="F5" i="41"/>
  <c r="G28" i="40"/>
  <c r="G27" i="40"/>
  <c r="G26" i="40"/>
  <c r="D23" i="40"/>
  <c r="D22" i="40"/>
  <c r="D14" i="40"/>
  <c r="D13" i="40"/>
  <c r="D11" i="40"/>
  <c r="D10" i="40"/>
  <c r="D9" i="40"/>
  <c r="D7" i="40"/>
  <c r="D6" i="40"/>
  <c r="D4" i="40"/>
  <c r="D3" i="40"/>
  <c r="J12" i="39"/>
  <c r="I12" i="39"/>
  <c r="H12" i="39"/>
  <c r="G12" i="39"/>
  <c r="G9" i="39"/>
  <c r="G8" i="39"/>
  <c r="G7" i="39"/>
  <c r="D4" i="39"/>
  <c r="D3" i="39"/>
  <c r="E28" i="38"/>
  <c r="I27" i="38"/>
  <c r="H27" i="38"/>
  <c r="I16" i="38"/>
  <c r="H16" i="38"/>
  <c r="H12" i="38"/>
  <c r="H11" i="38"/>
  <c r="H10" i="38"/>
  <c r="E7" i="38"/>
  <c r="E33" i="37"/>
  <c r="I32" i="37"/>
  <c r="H32" i="37"/>
  <c r="I16" i="37"/>
  <c r="H16" i="37"/>
  <c r="H12" i="37"/>
  <c r="H11" i="37"/>
  <c r="H10" i="37"/>
  <c r="E7" i="37"/>
  <c r="I6" i="36"/>
  <c r="F2" i="36"/>
  <c r="E2" i="36"/>
  <c r="L12" i="35"/>
  <c r="L11" i="35"/>
  <c r="L10" i="35"/>
  <c r="I7" i="35"/>
  <c r="L3" i="35"/>
  <c r="F2" i="35"/>
  <c r="E2" i="35"/>
  <c r="V20" i="34"/>
  <c r="Q20" i="34"/>
  <c r="V17" i="34"/>
  <c r="Q17" i="34"/>
  <c r="E6" i="34"/>
  <c r="E5" i="34"/>
  <c r="J130" i="33"/>
  <c r="F130" i="33"/>
  <c r="E130" i="33"/>
  <c r="J129" i="33"/>
  <c r="F129" i="33"/>
  <c r="E129" i="33"/>
  <c r="J128" i="33"/>
  <c r="F128" i="33"/>
  <c r="E128" i="33"/>
  <c r="J127" i="33"/>
  <c r="F127" i="33"/>
  <c r="E127" i="33"/>
  <c r="J126" i="33"/>
  <c r="F126" i="33"/>
  <c r="E126" i="33"/>
  <c r="E124" i="33"/>
  <c r="J123" i="33"/>
  <c r="F123" i="33"/>
  <c r="E123" i="33"/>
  <c r="E121" i="33"/>
  <c r="J120" i="33"/>
  <c r="F120" i="33"/>
  <c r="E120" i="33"/>
  <c r="E118" i="33"/>
  <c r="J117" i="33"/>
  <c r="F117" i="33"/>
  <c r="E117" i="33"/>
  <c r="J116" i="33"/>
  <c r="F116" i="33"/>
  <c r="E116" i="33"/>
  <c r="J115" i="33"/>
  <c r="F115" i="33"/>
  <c r="E115" i="33"/>
  <c r="J114" i="33"/>
  <c r="F114" i="33"/>
  <c r="E114" i="33"/>
  <c r="J113" i="33"/>
  <c r="F113" i="33"/>
  <c r="E113" i="33"/>
  <c r="J112" i="33"/>
  <c r="F112" i="33"/>
  <c r="E112" i="33"/>
  <c r="J111" i="33"/>
  <c r="F111" i="33"/>
  <c r="E111" i="33"/>
  <c r="J110" i="33"/>
  <c r="F110" i="33"/>
  <c r="E110" i="33"/>
  <c r="J109" i="33"/>
  <c r="F109" i="33"/>
  <c r="E109" i="33"/>
  <c r="J108" i="33"/>
  <c r="F108" i="33"/>
  <c r="E108" i="33"/>
  <c r="J107" i="33"/>
  <c r="F107" i="33"/>
  <c r="E107" i="33"/>
  <c r="J106" i="33"/>
  <c r="F106" i="33"/>
  <c r="E106" i="33"/>
  <c r="J105" i="33"/>
  <c r="F105" i="33"/>
  <c r="E105" i="33"/>
  <c r="J104" i="33"/>
  <c r="F104" i="33"/>
  <c r="E104" i="33"/>
  <c r="J103" i="33"/>
  <c r="F103" i="33"/>
  <c r="E103" i="33"/>
  <c r="J102" i="33"/>
  <c r="F102" i="33"/>
  <c r="E102" i="33"/>
  <c r="J99" i="33"/>
  <c r="F99" i="33"/>
  <c r="E99" i="33"/>
  <c r="E100" i="33" s="1"/>
  <c r="J98" i="33"/>
  <c r="F98" i="33"/>
  <c r="E98" i="33"/>
  <c r="J97" i="33"/>
  <c r="F97" i="33"/>
  <c r="E97" i="33"/>
  <c r="J96" i="33"/>
  <c r="F96" i="33"/>
  <c r="E96" i="33"/>
  <c r="J95" i="33"/>
  <c r="F95" i="33"/>
  <c r="E95" i="33"/>
  <c r="J94" i="33"/>
  <c r="F94" i="33"/>
  <c r="E94" i="33"/>
  <c r="J93" i="33"/>
  <c r="F93" i="33"/>
  <c r="E93" i="33"/>
  <c r="J92" i="33"/>
  <c r="F92" i="33"/>
  <c r="E92" i="33"/>
  <c r="J91" i="33"/>
  <c r="F91" i="33"/>
  <c r="E91" i="33"/>
  <c r="J90" i="33"/>
  <c r="F90" i="33"/>
  <c r="E90" i="33"/>
  <c r="J89" i="33"/>
  <c r="F89" i="33"/>
  <c r="E89" i="33"/>
  <c r="J88" i="33"/>
  <c r="F88" i="33"/>
  <c r="E88" i="33"/>
  <c r="J87" i="33"/>
  <c r="I87" i="33"/>
  <c r="H87" i="33"/>
  <c r="F87" i="33"/>
  <c r="E87" i="33"/>
  <c r="J86" i="33"/>
  <c r="F86" i="33"/>
  <c r="E86" i="33"/>
  <c r="J85" i="33"/>
  <c r="F85" i="33"/>
  <c r="E85" i="33"/>
  <c r="J84" i="33"/>
  <c r="F84" i="33"/>
  <c r="E84" i="33"/>
  <c r="J83" i="33"/>
  <c r="F83" i="33"/>
  <c r="E83" i="33"/>
  <c r="J82" i="33"/>
  <c r="F82" i="33"/>
  <c r="E82" i="33"/>
  <c r="J81" i="33"/>
  <c r="F81" i="33"/>
  <c r="E81" i="33"/>
  <c r="J80" i="33"/>
  <c r="F80" i="33"/>
  <c r="E80" i="33"/>
  <c r="J79" i="33"/>
  <c r="F79" i="33"/>
  <c r="E79" i="33"/>
  <c r="J78" i="33"/>
  <c r="F78" i="33"/>
  <c r="E78" i="33"/>
  <c r="J77" i="33"/>
  <c r="F77" i="33"/>
  <c r="E77" i="33"/>
  <c r="J76" i="33"/>
  <c r="F76" i="33"/>
  <c r="E76" i="33"/>
  <c r="J75" i="33"/>
  <c r="F75" i="33"/>
  <c r="E75" i="33"/>
  <c r="J74" i="33"/>
  <c r="F74" i="33"/>
  <c r="E74" i="33"/>
  <c r="J73" i="33"/>
  <c r="F73" i="33"/>
  <c r="E73" i="33"/>
  <c r="J72" i="33"/>
  <c r="F72" i="33"/>
  <c r="E72" i="33"/>
  <c r="K70" i="33"/>
  <c r="E70" i="33"/>
  <c r="J69" i="33"/>
  <c r="I69" i="33"/>
  <c r="H69" i="33"/>
  <c r="F69" i="33"/>
  <c r="E69" i="33"/>
  <c r="K69" i="33" s="1"/>
  <c r="L68" i="33"/>
  <c r="J68" i="33"/>
  <c r="F68" i="33"/>
  <c r="E68" i="33"/>
  <c r="K68" i="33" s="1"/>
  <c r="J67" i="33"/>
  <c r="F67" i="33"/>
  <c r="E67" i="33"/>
  <c r="K67" i="33" s="1"/>
  <c r="L66" i="33"/>
  <c r="J66" i="33"/>
  <c r="F66" i="33"/>
  <c r="E66" i="33"/>
  <c r="K66" i="33" s="1"/>
  <c r="J65" i="33"/>
  <c r="F65" i="33"/>
  <c r="E65" i="33"/>
  <c r="K65" i="33" s="1"/>
  <c r="J64" i="33"/>
  <c r="F64" i="33"/>
  <c r="E64" i="33"/>
  <c r="K64" i="33" s="1"/>
  <c r="J63" i="33"/>
  <c r="F63" i="33"/>
  <c r="E63" i="33"/>
  <c r="K63" i="33" s="1"/>
  <c r="J62" i="33"/>
  <c r="F62" i="33"/>
  <c r="E62" i="33"/>
  <c r="K62" i="33" s="1"/>
  <c r="J61" i="33"/>
  <c r="F61" i="33"/>
  <c r="E61" i="33"/>
  <c r="K61" i="33" s="1"/>
  <c r="J60" i="33"/>
  <c r="F60" i="33"/>
  <c r="E60" i="33"/>
  <c r="K60" i="33" s="1"/>
  <c r="J59" i="33"/>
  <c r="F59" i="33"/>
  <c r="E59" i="33"/>
  <c r="K59" i="33" s="1"/>
  <c r="J58" i="33"/>
  <c r="F58" i="33"/>
  <c r="E58" i="33"/>
  <c r="K58" i="33" s="1"/>
  <c r="J57" i="33"/>
  <c r="F57" i="33"/>
  <c r="E57" i="33"/>
  <c r="K57" i="33" s="1"/>
  <c r="J56" i="33"/>
  <c r="F56" i="33"/>
  <c r="E56" i="33"/>
  <c r="K56" i="33" s="1"/>
  <c r="J55" i="33"/>
  <c r="F55" i="33"/>
  <c r="E55" i="33"/>
  <c r="K55" i="33" s="1"/>
  <c r="J54" i="33"/>
  <c r="F54" i="33"/>
  <c r="E54" i="33"/>
  <c r="K54" i="33" s="1"/>
  <c r="J53" i="33"/>
  <c r="F53" i="33"/>
  <c r="E53" i="33"/>
  <c r="K53" i="33" s="1"/>
  <c r="J52" i="33"/>
  <c r="F52" i="33"/>
  <c r="E52" i="33"/>
  <c r="K52" i="33" s="1"/>
  <c r="J51" i="33"/>
  <c r="F51" i="33"/>
  <c r="E51" i="33"/>
  <c r="K51" i="33" s="1"/>
  <c r="J50" i="33"/>
  <c r="F50" i="33"/>
  <c r="E50" i="33"/>
  <c r="K50" i="33" s="1"/>
  <c r="J49" i="33"/>
  <c r="F49" i="33"/>
  <c r="E49" i="33"/>
  <c r="K49" i="33" s="1"/>
  <c r="J48" i="33"/>
  <c r="F48" i="33"/>
  <c r="E48" i="33"/>
  <c r="K48" i="33" s="1"/>
  <c r="J47" i="33"/>
  <c r="F47" i="33"/>
  <c r="E47" i="33"/>
  <c r="K47" i="33" s="1"/>
  <c r="J46" i="33"/>
  <c r="F46" i="33"/>
  <c r="E46" i="33"/>
  <c r="K46" i="33" s="1"/>
  <c r="J45" i="33"/>
  <c r="F45" i="33"/>
  <c r="E45" i="33"/>
  <c r="K45" i="33" s="1"/>
  <c r="J44" i="33"/>
  <c r="F44" i="33"/>
  <c r="E44" i="33"/>
  <c r="K44" i="33" s="1"/>
  <c r="J43" i="33"/>
  <c r="F43" i="33"/>
  <c r="E43" i="33"/>
  <c r="K43" i="33" s="1"/>
  <c r="J42" i="33"/>
  <c r="F42" i="33"/>
  <c r="E42" i="33"/>
  <c r="K42" i="33" s="1"/>
  <c r="J41" i="33"/>
  <c r="F41" i="33"/>
  <c r="E41" i="33"/>
  <c r="K41" i="33" s="1"/>
  <c r="K40" i="33"/>
  <c r="K39" i="33"/>
  <c r="K38" i="33"/>
  <c r="K37" i="33"/>
  <c r="K36" i="33"/>
  <c r="K35" i="33"/>
  <c r="K34" i="33"/>
  <c r="B34" i="33"/>
  <c r="J33" i="33"/>
  <c r="I33" i="33"/>
  <c r="H33" i="33"/>
  <c r="F33" i="33"/>
  <c r="E33" i="33"/>
  <c r="K33" i="33" s="1"/>
  <c r="K32" i="33"/>
  <c r="J32" i="33"/>
  <c r="F32" i="33"/>
  <c r="E32" i="33"/>
  <c r="J31" i="33"/>
  <c r="F31" i="33"/>
  <c r="E31" i="33"/>
  <c r="J30" i="33"/>
  <c r="F30" i="33"/>
  <c r="E30" i="33"/>
  <c r="H27" i="33"/>
  <c r="H26" i="33"/>
  <c r="H25" i="33"/>
  <c r="E22" i="33"/>
  <c r="E21" i="33"/>
  <c r="E7" i="33"/>
  <c r="E6" i="33"/>
  <c r="E5" i="33"/>
  <c r="E4" i="33"/>
  <c r="I3" i="33"/>
  <c r="H3" i="33"/>
  <c r="E2" i="33"/>
  <c r="BF63" i="32"/>
  <c r="BF62" i="32"/>
  <c r="BF61" i="32"/>
  <c r="BF60" i="32"/>
  <c r="BF59" i="32"/>
  <c r="BF58" i="32"/>
  <c r="BF57" i="32"/>
  <c r="BF56" i="32"/>
  <c r="BB56" i="32"/>
  <c r="AW56" i="32"/>
  <c r="AU56" i="32"/>
  <c r="Y56" i="32"/>
  <c r="W56" i="32"/>
  <c r="BF52" i="32"/>
  <c r="BF51" i="32"/>
  <c r="J51" i="32"/>
  <c r="BF50" i="32"/>
  <c r="I50" i="32"/>
  <c r="BF49" i="32"/>
  <c r="BF48" i="32"/>
  <c r="BF47" i="32"/>
  <c r="BF46" i="32"/>
  <c r="BC46" i="32"/>
  <c r="AW45" i="32"/>
  <c r="AX45" i="32" s="1"/>
  <c r="AY45" i="32" s="1"/>
  <c r="BA45" i="32" s="1"/>
  <c r="BB45" i="32" s="1"/>
  <c r="BC45" i="32" s="1"/>
  <c r="Y45" i="32"/>
  <c r="Z45" i="32" s="1"/>
  <c r="AA45" i="32" s="1"/>
  <c r="AC45" i="32" s="1"/>
  <c r="AD45" i="32" s="1"/>
  <c r="U45" i="32"/>
  <c r="V45" i="32" s="1"/>
  <c r="W45" i="32" s="1"/>
  <c r="X45" i="32" s="1"/>
  <c r="AD37" i="32"/>
  <c r="V37" i="32"/>
  <c r="AD36" i="32"/>
  <c r="V36" i="32"/>
  <c r="AD34" i="32"/>
  <c r="V34" i="32"/>
  <c r="AD33" i="32"/>
  <c r="V33" i="32"/>
  <c r="AD32" i="32"/>
  <c r="V32" i="32"/>
  <c r="AD31" i="32"/>
  <c r="V31" i="32"/>
  <c r="S29" i="32"/>
  <c r="S28" i="32"/>
  <c r="BF18" i="32"/>
  <c r="BF17" i="32"/>
  <c r="BF16" i="32"/>
  <c r="BF15" i="32"/>
  <c r="BF14" i="32"/>
  <c r="BF13" i="32"/>
  <c r="BF12" i="32"/>
  <c r="BB12" i="32"/>
  <c r="AW12" i="32"/>
  <c r="AU12" i="32"/>
  <c r="Y12" i="32"/>
  <c r="W12" i="32"/>
  <c r="BF8" i="32"/>
  <c r="BF7" i="32"/>
  <c r="J7" i="32"/>
  <c r="BF6" i="32"/>
  <c r="I6" i="32"/>
  <c r="BF5" i="32"/>
  <c r="BF4" i="32"/>
  <c r="AD4" i="32"/>
  <c r="S4" i="32"/>
  <c r="K8" i="32" s="1"/>
  <c r="S8" i="32" s="1"/>
  <c r="BF3" i="32"/>
  <c r="AD3" i="32"/>
  <c r="S3" i="32"/>
  <c r="BF2" i="32"/>
  <c r="BC2" i="32"/>
  <c r="AD2" i="32"/>
  <c r="S2" i="32"/>
  <c r="AV54" i="31"/>
  <c r="AV53" i="31"/>
  <c r="AV52" i="31"/>
  <c r="AV51" i="31"/>
  <c r="AV50" i="31"/>
  <c r="AV49" i="31"/>
  <c r="AV48" i="31"/>
  <c r="AM48" i="31"/>
  <c r="AB48" i="31"/>
  <c r="AV47" i="31"/>
  <c r="AS47" i="31"/>
  <c r="AV46" i="31"/>
  <c r="AV45" i="31"/>
  <c r="AV44" i="31"/>
  <c r="AV43" i="31"/>
  <c r="AV42" i="31"/>
  <c r="AS42" i="31"/>
  <c r="AM41" i="31"/>
  <c r="AN41" i="31" s="1"/>
  <c r="AO41" i="31" s="1"/>
  <c r="AQ41" i="31" s="1"/>
  <c r="AR41" i="31" s="1"/>
  <c r="AS41" i="31" s="1"/>
  <c r="AC41" i="31"/>
  <c r="AD41" i="31" s="1"/>
  <c r="AF41" i="31" s="1"/>
  <c r="AG41" i="31" s="1"/>
  <c r="AB41" i="31"/>
  <c r="U41" i="31"/>
  <c r="V41" i="31" s="1"/>
  <c r="AG33" i="31"/>
  <c r="V33" i="31"/>
  <c r="AG32" i="31"/>
  <c r="V32" i="31"/>
  <c r="AG30" i="31"/>
  <c r="V30" i="31"/>
  <c r="AG29" i="31"/>
  <c r="V29" i="31"/>
  <c r="AG28" i="31"/>
  <c r="V28" i="31"/>
  <c r="AG27" i="31"/>
  <c r="V27" i="31"/>
  <c r="S25" i="31"/>
  <c r="S24" i="31"/>
  <c r="AM16" i="31"/>
  <c r="AV13" i="31"/>
  <c r="AV12" i="31"/>
  <c r="AV11" i="31"/>
  <c r="AV10" i="31"/>
  <c r="AV9" i="31"/>
  <c r="AV8" i="31"/>
  <c r="AM8" i="31"/>
  <c r="AB8" i="31"/>
  <c r="AV7" i="31"/>
  <c r="AS7" i="31"/>
  <c r="AV6" i="31"/>
  <c r="AV5" i="31"/>
  <c r="AV4" i="31"/>
  <c r="AG4" i="31"/>
  <c r="S4" i="31"/>
  <c r="I5" i="31" s="1"/>
  <c r="AV3" i="31"/>
  <c r="AG3" i="31"/>
  <c r="S3" i="31"/>
  <c r="AV2" i="31"/>
  <c r="AS2" i="31"/>
  <c r="AG2" i="31"/>
  <c r="S2" i="31"/>
  <c r="AV54" i="30"/>
  <c r="AV53" i="30"/>
  <c r="AV52" i="30"/>
  <c r="AV51" i="30"/>
  <c r="AV50" i="30"/>
  <c r="AV49" i="30"/>
  <c r="AV48" i="30"/>
  <c r="AV47" i="30"/>
  <c r="AS47" i="30"/>
  <c r="AV46" i="30"/>
  <c r="AV45" i="30"/>
  <c r="AV44" i="30"/>
  <c r="AV43" i="30"/>
  <c r="AV42" i="30"/>
  <c r="AS42" i="30"/>
  <c r="AM41" i="30"/>
  <c r="AN41" i="30" s="1"/>
  <c r="AO41" i="30" s="1"/>
  <c r="AQ41" i="30" s="1"/>
  <c r="AR41" i="30" s="1"/>
  <c r="AS41" i="30" s="1"/>
  <c r="AC41" i="30"/>
  <c r="AD41" i="30" s="1"/>
  <c r="AF41" i="30" s="1"/>
  <c r="AG41" i="30" s="1"/>
  <c r="U41" i="30"/>
  <c r="V41" i="30" s="1"/>
  <c r="AG33" i="30"/>
  <c r="V33" i="30"/>
  <c r="AG32" i="30"/>
  <c r="V32" i="30"/>
  <c r="AG30" i="30"/>
  <c r="V30" i="30"/>
  <c r="AG29" i="30"/>
  <c r="V29" i="30"/>
  <c r="AG28" i="30"/>
  <c r="V28" i="30"/>
  <c r="AG27" i="30"/>
  <c r="V27" i="30"/>
  <c r="S25" i="30"/>
  <c r="S24" i="30"/>
  <c r="AV13" i="30"/>
  <c r="AV12" i="30"/>
  <c r="AV11" i="30"/>
  <c r="AV10" i="30"/>
  <c r="AV9" i="30"/>
  <c r="AV8" i="30"/>
  <c r="AV7" i="30"/>
  <c r="AS7" i="30"/>
  <c r="AV6" i="30"/>
  <c r="AV5" i="30"/>
  <c r="AV4" i="30"/>
  <c r="AG4" i="30"/>
  <c r="S4" i="30"/>
  <c r="I5" i="30" s="1"/>
  <c r="J6" i="30" s="1"/>
  <c r="AV3" i="30"/>
  <c r="AG3" i="30"/>
  <c r="S3" i="30"/>
  <c r="AV2" i="30"/>
  <c r="AS2" i="30"/>
  <c r="AG2" i="30"/>
  <c r="S2" i="30"/>
  <c r="BF63" i="29"/>
  <c r="BF62" i="29"/>
  <c r="BF61" i="29"/>
  <c r="BF60" i="29"/>
  <c r="BF59" i="29"/>
  <c r="BF58" i="29"/>
  <c r="BF57" i="29"/>
  <c r="BF56" i="29"/>
  <c r="BB56" i="29"/>
  <c r="AW56" i="29"/>
  <c r="AU56" i="29"/>
  <c r="Y56" i="29"/>
  <c r="W56" i="29"/>
  <c r="BF52" i="29"/>
  <c r="BF51" i="29"/>
  <c r="J51" i="29"/>
  <c r="BF50" i="29"/>
  <c r="I50" i="29"/>
  <c r="BF49" i="29"/>
  <c r="BF48" i="29"/>
  <c r="BF47" i="29"/>
  <c r="BF46" i="29"/>
  <c r="BC46" i="29"/>
  <c r="AW45" i="29"/>
  <c r="AX45" i="29" s="1"/>
  <c r="AY45" i="29" s="1"/>
  <c r="BA45" i="29" s="1"/>
  <c r="BB45" i="29" s="1"/>
  <c r="BC45" i="29" s="1"/>
  <c r="U45" i="29"/>
  <c r="V45" i="29" s="1"/>
  <c r="W45" i="29" s="1"/>
  <c r="X45" i="29" s="1"/>
  <c r="Y45" i="29" s="1"/>
  <c r="Z45" i="29" s="1"/>
  <c r="AA45" i="29" s="1"/>
  <c r="AC45" i="29" s="1"/>
  <c r="AD45" i="29" s="1"/>
  <c r="AD37" i="29"/>
  <c r="V37" i="29"/>
  <c r="AD36" i="29"/>
  <c r="V36" i="29"/>
  <c r="AD34" i="29"/>
  <c r="V34" i="29"/>
  <c r="AD33" i="29"/>
  <c r="V33" i="29"/>
  <c r="AD32" i="29"/>
  <c r="V32" i="29"/>
  <c r="AD31" i="29"/>
  <c r="V31" i="29"/>
  <c r="S29" i="29"/>
  <c r="S28" i="29"/>
  <c r="BF18" i="29"/>
  <c r="BF17" i="29"/>
  <c r="BF16" i="29"/>
  <c r="BF15" i="29"/>
  <c r="BF14" i="29"/>
  <c r="BF13" i="29"/>
  <c r="BF12" i="29"/>
  <c r="BB12" i="29"/>
  <c r="AW12" i="29"/>
  <c r="AU12" i="29"/>
  <c r="Y12" i="29"/>
  <c r="W12" i="29"/>
  <c r="BF8" i="29"/>
  <c r="BF7" i="29"/>
  <c r="J7" i="29"/>
  <c r="BF6" i="29"/>
  <c r="I6" i="29"/>
  <c r="BF5" i="29"/>
  <c r="BF4" i="29"/>
  <c r="AD4" i="29"/>
  <c r="S4" i="29"/>
  <c r="K8" i="29" s="1"/>
  <c r="S8" i="29" s="1"/>
  <c r="BF3" i="29"/>
  <c r="AD3" i="29"/>
  <c r="S3" i="29"/>
  <c r="BF2" i="29"/>
  <c r="BC2" i="29"/>
  <c r="AD2" i="29"/>
  <c r="S2" i="29"/>
  <c r="AN53" i="28"/>
  <c r="AN52" i="28"/>
  <c r="AN51" i="28"/>
  <c r="AN50" i="28"/>
  <c r="AN49" i="28"/>
  <c r="AN48" i="28"/>
  <c r="AN47" i="28"/>
  <c r="AE47" i="28"/>
  <c r="X47" i="28"/>
  <c r="AN46" i="28"/>
  <c r="AK46" i="28"/>
  <c r="AN45" i="28"/>
  <c r="AN44" i="28"/>
  <c r="AN43" i="28"/>
  <c r="AN42" i="28"/>
  <c r="AN41" i="28"/>
  <c r="AK41" i="28"/>
  <c r="U40" i="28"/>
  <c r="V40" i="28" s="1"/>
  <c r="W40" i="28" s="1"/>
  <c r="X40" i="28" s="1"/>
  <c r="Y40" i="28" s="1"/>
  <c r="Z40" i="28" s="1"/>
  <c r="AB40" i="28" s="1"/>
  <c r="AC40" i="28" s="1"/>
  <c r="AD40" i="28" s="1"/>
  <c r="AE40" i="28" s="1"/>
  <c r="AF40" i="28" s="1"/>
  <c r="AG40" i="28" s="1"/>
  <c r="AI40" i="28" s="1"/>
  <c r="AJ40" i="28" s="1"/>
  <c r="AK40" i="28" s="1"/>
  <c r="AC33" i="28"/>
  <c r="V33" i="28"/>
  <c r="AC32" i="28"/>
  <c r="V32" i="28"/>
  <c r="AC30" i="28"/>
  <c r="V30" i="28"/>
  <c r="AC29" i="28"/>
  <c r="V29" i="28"/>
  <c r="AC28" i="28"/>
  <c r="V28" i="28"/>
  <c r="AC27" i="28"/>
  <c r="V27" i="28"/>
  <c r="S25" i="28"/>
  <c r="S24" i="28"/>
  <c r="AE16" i="28"/>
  <c r="AN13" i="28"/>
  <c r="AN12" i="28"/>
  <c r="AN11" i="28"/>
  <c r="AN10" i="28"/>
  <c r="AN9" i="28"/>
  <c r="AN8" i="28"/>
  <c r="AE8" i="28"/>
  <c r="X8" i="28"/>
  <c r="AN7" i="28"/>
  <c r="AK7" i="28"/>
  <c r="AN6" i="28"/>
  <c r="AN5" i="28"/>
  <c r="I5" i="28"/>
  <c r="J6" i="28" s="1"/>
  <c r="AN4" i="28"/>
  <c r="AC4" i="28"/>
  <c r="S4" i="28"/>
  <c r="AN3" i="28"/>
  <c r="AC3" i="28"/>
  <c r="S3" i="28"/>
  <c r="AN2" i="28"/>
  <c r="AK2" i="28"/>
  <c r="AC2" i="28"/>
  <c r="S2" i="28"/>
  <c r="AN53" i="27"/>
  <c r="AN52" i="27"/>
  <c r="AN51" i="27"/>
  <c r="AN50" i="27"/>
  <c r="AN49" i="27"/>
  <c r="AN48" i="27"/>
  <c r="AN47" i="27"/>
  <c r="AE47" i="27"/>
  <c r="X47" i="27"/>
  <c r="AN46" i="27"/>
  <c r="AK46" i="27"/>
  <c r="AN45" i="27"/>
  <c r="AN44" i="27"/>
  <c r="AN43" i="27"/>
  <c r="AN42" i="27"/>
  <c r="AN41" i="27"/>
  <c r="AK41" i="27"/>
  <c r="V40" i="27"/>
  <c r="W40" i="27" s="1"/>
  <c r="X40" i="27" s="1"/>
  <c r="Y40" i="27" s="1"/>
  <c r="Z40" i="27" s="1"/>
  <c r="AB40" i="27" s="1"/>
  <c r="AC40" i="27" s="1"/>
  <c r="AD40" i="27" s="1"/>
  <c r="AE40" i="27" s="1"/>
  <c r="AF40" i="27" s="1"/>
  <c r="AG40" i="27" s="1"/>
  <c r="AI40" i="27" s="1"/>
  <c r="AJ40" i="27" s="1"/>
  <c r="AK40" i="27" s="1"/>
  <c r="U40" i="27"/>
  <c r="AC33" i="27"/>
  <c r="V33" i="27"/>
  <c r="AC32" i="27"/>
  <c r="V32" i="27"/>
  <c r="AC30" i="27"/>
  <c r="V30" i="27"/>
  <c r="AC29" i="27"/>
  <c r="V29" i="27"/>
  <c r="AC28" i="27"/>
  <c r="V28" i="27"/>
  <c r="AC27" i="27"/>
  <c r="V27" i="27"/>
  <c r="S25" i="27"/>
  <c r="S24" i="27"/>
  <c r="AE16" i="27"/>
  <c r="AN13" i="27"/>
  <c r="AN12" i="27"/>
  <c r="AN11" i="27"/>
  <c r="AN10" i="27"/>
  <c r="AN9" i="27"/>
  <c r="AN8" i="27"/>
  <c r="AE8" i="27"/>
  <c r="X8" i="27"/>
  <c r="AN7" i="27"/>
  <c r="AK7" i="27"/>
  <c r="AN6" i="27"/>
  <c r="AN5" i="27"/>
  <c r="AN4" i="27"/>
  <c r="AC4" i="27"/>
  <c r="S4" i="27"/>
  <c r="I5" i="27" s="1"/>
  <c r="AN3" i="27"/>
  <c r="AC3" i="27"/>
  <c r="S3" i="27"/>
  <c r="AN2" i="27"/>
  <c r="AK2" i="27"/>
  <c r="AC2" i="27"/>
  <c r="S2" i="27"/>
  <c r="BF63" i="26"/>
  <c r="BF62" i="26"/>
  <c r="BF61" i="26"/>
  <c r="BF60" i="26"/>
  <c r="BF59" i="26"/>
  <c r="BF58" i="26"/>
  <c r="BF57" i="26"/>
  <c r="BF56" i="26"/>
  <c r="BB56" i="26"/>
  <c r="AW56" i="26"/>
  <c r="AU56" i="26"/>
  <c r="Y56" i="26"/>
  <c r="W56" i="26"/>
  <c r="BF52" i="26"/>
  <c r="BF51" i="26"/>
  <c r="J51" i="26"/>
  <c r="BF50" i="26"/>
  <c r="I50" i="26"/>
  <c r="BF49" i="26"/>
  <c r="BF48" i="26"/>
  <c r="BF47" i="26"/>
  <c r="BF46" i="26"/>
  <c r="BC46" i="26"/>
  <c r="AW45" i="26"/>
  <c r="AX45" i="26" s="1"/>
  <c r="AY45" i="26" s="1"/>
  <c r="BA45" i="26" s="1"/>
  <c r="BB45" i="26" s="1"/>
  <c r="BC45" i="26" s="1"/>
  <c r="U45" i="26"/>
  <c r="V45" i="26" s="1"/>
  <c r="W45" i="26" s="1"/>
  <c r="X45" i="26" s="1"/>
  <c r="Y45" i="26" s="1"/>
  <c r="Z45" i="26" s="1"/>
  <c r="AA45" i="26" s="1"/>
  <c r="AC45" i="26" s="1"/>
  <c r="AD45" i="26" s="1"/>
  <c r="AD37" i="26"/>
  <c r="V37" i="26"/>
  <c r="AD36" i="26"/>
  <c r="V36" i="26"/>
  <c r="AD34" i="26"/>
  <c r="V34" i="26"/>
  <c r="AD33" i="26"/>
  <c r="V33" i="26"/>
  <c r="AD32" i="26"/>
  <c r="V32" i="26"/>
  <c r="AD31" i="26"/>
  <c r="V31" i="26"/>
  <c r="S29" i="26"/>
  <c r="S28" i="26"/>
  <c r="BF18" i="26"/>
  <c r="BF17" i="26"/>
  <c r="BF16" i="26"/>
  <c r="BF15" i="26"/>
  <c r="BF14" i="26"/>
  <c r="BF13" i="26"/>
  <c r="BF12" i="26"/>
  <c r="BB12" i="26"/>
  <c r="AW12" i="26"/>
  <c r="AU12" i="26"/>
  <c r="Y12" i="26"/>
  <c r="W12" i="26"/>
  <c r="BF8" i="26"/>
  <c r="BF7" i="26"/>
  <c r="J7" i="26"/>
  <c r="BF6" i="26"/>
  <c r="I6" i="26"/>
  <c r="BF5" i="26"/>
  <c r="BF4" i="26"/>
  <c r="AD4" i="26"/>
  <c r="S4" i="26"/>
  <c r="K8" i="26" s="1"/>
  <c r="S8" i="26" s="1"/>
  <c r="BF3" i="26"/>
  <c r="AD3" i="26"/>
  <c r="S3" i="26"/>
  <c r="BF2" i="26"/>
  <c r="BC2" i="26"/>
  <c r="AD2" i="26"/>
  <c r="S2" i="26"/>
  <c r="AN56" i="25"/>
  <c r="AN55" i="25"/>
  <c r="AN54" i="25"/>
  <c r="AN53" i="25"/>
  <c r="AN52" i="25"/>
  <c r="AN51" i="25"/>
  <c r="AN50" i="25"/>
  <c r="AN49" i="25"/>
  <c r="AN48" i="25"/>
  <c r="AN47" i="25"/>
  <c r="AN46" i="25"/>
  <c r="AN45" i="25"/>
  <c r="AN44" i="25"/>
  <c r="AN43" i="25"/>
  <c r="AN42" i="25"/>
  <c r="AK42" i="25"/>
  <c r="AD41" i="25"/>
  <c r="AE41" i="25" s="1"/>
  <c r="AF41" i="25" s="1"/>
  <c r="AG41" i="25" s="1"/>
  <c r="AI41" i="25" s="1"/>
  <c r="AJ41" i="25" s="1"/>
  <c r="AK41" i="25" s="1"/>
  <c r="U41" i="25"/>
  <c r="V41" i="25" s="1"/>
  <c r="W41" i="25" s="1"/>
  <c r="X41" i="25" s="1"/>
  <c r="Y41" i="25" s="1"/>
  <c r="AA41" i="25" s="1"/>
  <c r="V39" i="25"/>
  <c r="V33" i="25"/>
  <c r="V32" i="25"/>
  <c r="V30" i="25"/>
  <c r="V29" i="25"/>
  <c r="V28" i="25"/>
  <c r="V27" i="25"/>
  <c r="S25" i="25"/>
  <c r="S24" i="25"/>
  <c r="AN14" i="25"/>
  <c r="AN13" i="25"/>
  <c r="AN12" i="25"/>
  <c r="AN11" i="25"/>
  <c r="AN10" i="25"/>
  <c r="AN9" i="25"/>
  <c r="AN8" i="25"/>
  <c r="K8" i="25"/>
  <c r="S8" i="25" s="1"/>
  <c r="AN7" i="25"/>
  <c r="AN6" i="25"/>
  <c r="I6" i="25"/>
  <c r="AN5" i="25"/>
  <c r="AC5" i="25"/>
  <c r="S5" i="25"/>
  <c r="J7" i="25" s="1"/>
  <c r="AN4" i="25"/>
  <c r="AC4" i="25"/>
  <c r="S4" i="25"/>
  <c r="AN3" i="25"/>
  <c r="AC3" i="25"/>
  <c r="S3" i="25"/>
  <c r="AN2" i="25"/>
  <c r="AC2" i="25"/>
  <c r="S2" i="25"/>
  <c r="AN53" i="24"/>
  <c r="AN52" i="24"/>
  <c r="AN51" i="24"/>
  <c r="AN50" i="24"/>
  <c r="AN49" i="24"/>
  <c r="AN48" i="24"/>
  <c r="AN47" i="24"/>
  <c r="AE47" i="24"/>
  <c r="X47" i="24"/>
  <c r="AN46" i="24"/>
  <c r="AK46" i="24"/>
  <c r="AN45" i="24"/>
  <c r="AN44" i="24"/>
  <c r="AN43" i="24"/>
  <c r="AN42" i="24"/>
  <c r="AN41" i="24"/>
  <c r="AK41" i="24"/>
  <c r="U40" i="24"/>
  <c r="V40" i="24" s="1"/>
  <c r="W40" i="24" s="1"/>
  <c r="X40" i="24" s="1"/>
  <c r="Y40" i="24" s="1"/>
  <c r="Z40" i="24" s="1"/>
  <c r="AB40" i="24" s="1"/>
  <c r="AC40" i="24" s="1"/>
  <c r="AD40" i="24" s="1"/>
  <c r="AE40" i="24" s="1"/>
  <c r="AF40" i="24" s="1"/>
  <c r="AG40" i="24" s="1"/>
  <c r="AI40" i="24" s="1"/>
  <c r="AJ40" i="24" s="1"/>
  <c r="AK40" i="24" s="1"/>
  <c r="AC33" i="24"/>
  <c r="V33" i="24"/>
  <c r="AC32" i="24"/>
  <c r="V32" i="24"/>
  <c r="AC30" i="24"/>
  <c r="V30" i="24"/>
  <c r="AC29" i="24"/>
  <c r="V29" i="24"/>
  <c r="AC28" i="24"/>
  <c r="V28" i="24"/>
  <c r="AC27" i="24"/>
  <c r="V27" i="24"/>
  <c r="S25" i="24"/>
  <c r="S24" i="24"/>
  <c r="AE16" i="24"/>
  <c r="AN13" i="24"/>
  <c r="AN12" i="24"/>
  <c r="AN11" i="24"/>
  <c r="AN10" i="24"/>
  <c r="AN9" i="24"/>
  <c r="AN8" i="24"/>
  <c r="AE8" i="24"/>
  <c r="X8" i="24"/>
  <c r="AN7" i="24"/>
  <c r="AK7" i="24"/>
  <c r="AN6" i="24"/>
  <c r="J6" i="24"/>
  <c r="S6" i="24" s="1"/>
  <c r="AN5" i="24"/>
  <c r="I5" i="24"/>
  <c r="S5" i="24" s="1"/>
  <c r="AN4" i="24"/>
  <c r="AC4" i="24"/>
  <c r="S4" i="24"/>
  <c r="AN3" i="24"/>
  <c r="AC3" i="24"/>
  <c r="S3" i="24"/>
  <c r="AN2" i="24"/>
  <c r="AK2" i="24"/>
  <c r="AC2" i="24"/>
  <c r="S2" i="24"/>
  <c r="AN53" i="23"/>
  <c r="AN52" i="23"/>
  <c r="AN51" i="23"/>
  <c r="AN50" i="23"/>
  <c r="AN49" i="23"/>
  <c r="AN48" i="23"/>
  <c r="AN47" i="23"/>
  <c r="AE47" i="23"/>
  <c r="X47" i="23"/>
  <c r="AN46" i="23"/>
  <c r="AK46" i="23"/>
  <c r="AN45" i="23"/>
  <c r="AN44" i="23"/>
  <c r="AN43" i="23"/>
  <c r="AN42" i="23"/>
  <c r="AN41" i="23"/>
  <c r="AK41" i="23"/>
  <c r="U40" i="23"/>
  <c r="V40" i="23" s="1"/>
  <c r="W40" i="23" s="1"/>
  <c r="X40" i="23" s="1"/>
  <c r="Y40" i="23" s="1"/>
  <c r="Z40" i="23" s="1"/>
  <c r="AB40" i="23" s="1"/>
  <c r="AC40" i="23" s="1"/>
  <c r="AD40" i="23" s="1"/>
  <c r="AE40" i="23" s="1"/>
  <c r="AF40" i="23" s="1"/>
  <c r="AG40" i="23" s="1"/>
  <c r="AI40" i="23" s="1"/>
  <c r="AJ40" i="23" s="1"/>
  <c r="AK40" i="23" s="1"/>
  <c r="AC33" i="23"/>
  <c r="V33" i="23"/>
  <c r="AC32" i="23"/>
  <c r="V32" i="23"/>
  <c r="AC30" i="23"/>
  <c r="V30" i="23"/>
  <c r="AC29" i="23"/>
  <c r="V29" i="23"/>
  <c r="AC28" i="23"/>
  <c r="V28" i="23"/>
  <c r="AC27" i="23"/>
  <c r="V27" i="23"/>
  <c r="S25" i="23"/>
  <c r="S24" i="23"/>
  <c r="AE16" i="23"/>
  <c r="AN13" i="23"/>
  <c r="AN12" i="23"/>
  <c r="AN11" i="23"/>
  <c r="AN10" i="23"/>
  <c r="AN9" i="23"/>
  <c r="AN8" i="23"/>
  <c r="AE8" i="23"/>
  <c r="X8" i="23"/>
  <c r="AN7" i="23"/>
  <c r="AK7" i="23"/>
  <c r="AN6" i="23"/>
  <c r="AN5" i="23"/>
  <c r="I5" i="23"/>
  <c r="S5" i="23" s="1"/>
  <c r="AN4" i="23"/>
  <c r="AC4" i="23"/>
  <c r="S4" i="23"/>
  <c r="AN3" i="23"/>
  <c r="AC3" i="23"/>
  <c r="S3" i="23"/>
  <c r="AN2" i="23"/>
  <c r="AK2" i="23"/>
  <c r="AC2" i="23"/>
  <c r="S2" i="23"/>
  <c r="AN53" i="22"/>
  <c r="AN52" i="22"/>
  <c r="AN51" i="22"/>
  <c r="AN50" i="22"/>
  <c r="AN49" i="22"/>
  <c r="AN48" i="22"/>
  <c r="AN47" i="22"/>
  <c r="AE47" i="22"/>
  <c r="X47" i="22"/>
  <c r="AN46" i="22"/>
  <c r="AK46" i="22"/>
  <c r="AN45" i="22"/>
  <c r="AN44" i="22"/>
  <c r="AN43" i="22"/>
  <c r="AN42" i="22"/>
  <c r="AN41" i="22"/>
  <c r="AK41" i="22"/>
  <c r="U40" i="22"/>
  <c r="V40" i="22" s="1"/>
  <c r="W40" i="22" s="1"/>
  <c r="X40" i="22" s="1"/>
  <c r="Y40" i="22" s="1"/>
  <c r="Z40" i="22" s="1"/>
  <c r="AB40" i="22" s="1"/>
  <c r="AC40" i="22" s="1"/>
  <c r="AD40" i="22" s="1"/>
  <c r="AE40" i="22" s="1"/>
  <c r="AF40" i="22" s="1"/>
  <c r="AG40" i="22" s="1"/>
  <c r="AI40" i="22" s="1"/>
  <c r="AJ40" i="22" s="1"/>
  <c r="AK40" i="22" s="1"/>
  <c r="AC33" i="22"/>
  <c r="V33" i="22"/>
  <c r="AC32" i="22"/>
  <c r="V32" i="22"/>
  <c r="AC30" i="22"/>
  <c r="V30" i="22"/>
  <c r="AC29" i="22"/>
  <c r="V29" i="22"/>
  <c r="AC28" i="22"/>
  <c r="V28" i="22"/>
  <c r="AC27" i="22"/>
  <c r="V27" i="22"/>
  <c r="S25" i="22"/>
  <c r="S24" i="22"/>
  <c r="AE16" i="22"/>
  <c r="AN13" i="22"/>
  <c r="AN12" i="22"/>
  <c r="AN11" i="22"/>
  <c r="AN10" i="22"/>
  <c r="AN9" i="22"/>
  <c r="AN8" i="22"/>
  <c r="AE8" i="22"/>
  <c r="X8" i="22"/>
  <c r="AN7" i="22"/>
  <c r="AK7" i="22"/>
  <c r="AN6" i="22"/>
  <c r="AN5" i="22"/>
  <c r="AN4" i="22"/>
  <c r="AC4" i="22"/>
  <c r="S4" i="22"/>
  <c r="I5" i="22" s="1"/>
  <c r="AN3" i="22"/>
  <c r="AC3" i="22"/>
  <c r="S3" i="22"/>
  <c r="AN2" i="22"/>
  <c r="AK2" i="22"/>
  <c r="AC2" i="22"/>
  <c r="S2" i="22"/>
  <c r="AN53" i="21"/>
  <c r="AN52" i="21"/>
  <c r="AN51" i="21"/>
  <c r="AN50" i="21"/>
  <c r="AN49" i="21"/>
  <c r="AN48" i="21"/>
  <c r="AN47" i="21"/>
  <c r="AE47" i="21"/>
  <c r="X47" i="21"/>
  <c r="AN46" i="21"/>
  <c r="AK46" i="21"/>
  <c r="AN45" i="21"/>
  <c r="AN44" i="21"/>
  <c r="AN43" i="21"/>
  <c r="AN42" i="21"/>
  <c r="AN41" i="21"/>
  <c r="AK41" i="21"/>
  <c r="U40" i="21"/>
  <c r="V40" i="21" s="1"/>
  <c r="W40" i="21" s="1"/>
  <c r="X40" i="21" s="1"/>
  <c r="Y40" i="21" s="1"/>
  <c r="Z40" i="21" s="1"/>
  <c r="AB40" i="21" s="1"/>
  <c r="AC40" i="21" s="1"/>
  <c r="AD40" i="21" s="1"/>
  <c r="AE40" i="21" s="1"/>
  <c r="AF40" i="21" s="1"/>
  <c r="AG40" i="21" s="1"/>
  <c r="AI40" i="21" s="1"/>
  <c r="AJ40" i="21" s="1"/>
  <c r="AK40" i="21" s="1"/>
  <c r="AC33" i="21"/>
  <c r="V33" i="21"/>
  <c r="AC32" i="21"/>
  <c r="V32" i="21"/>
  <c r="AC30" i="21"/>
  <c r="V30" i="21"/>
  <c r="AC29" i="21"/>
  <c r="V29" i="21"/>
  <c r="AC28" i="21"/>
  <c r="V28" i="21"/>
  <c r="AC27" i="21"/>
  <c r="V27" i="21"/>
  <c r="S25" i="21"/>
  <c r="S24" i="21"/>
  <c r="AE16" i="21"/>
  <c r="AN13" i="21"/>
  <c r="AN12" i="21"/>
  <c r="AN11" i="21"/>
  <c r="AN10" i="21"/>
  <c r="AN9" i="21"/>
  <c r="AN8" i="21"/>
  <c r="AE8" i="21"/>
  <c r="X8" i="21"/>
  <c r="AN7" i="21"/>
  <c r="AK7" i="21"/>
  <c r="AN6" i="21"/>
  <c r="AN5" i="21"/>
  <c r="AN4" i="21"/>
  <c r="AC4" i="21"/>
  <c r="S4" i="21"/>
  <c r="I5" i="21" s="1"/>
  <c r="AN3" i="21"/>
  <c r="AC3" i="21"/>
  <c r="S3" i="21"/>
  <c r="AN2" i="21"/>
  <c r="AK2" i="21"/>
  <c r="AC2" i="21"/>
  <c r="S2" i="21"/>
  <c r="AX62" i="20"/>
  <c r="AX61" i="20"/>
  <c r="AX60" i="20"/>
  <c r="AX59" i="20"/>
  <c r="AX58" i="20"/>
  <c r="AX57" i="20"/>
  <c r="AX56" i="20"/>
  <c r="AX55" i="20"/>
  <c r="AX54" i="20"/>
  <c r="AO54" i="20"/>
  <c r="W54" i="20"/>
  <c r="AX51" i="20"/>
  <c r="AX50" i="20"/>
  <c r="AX49" i="20"/>
  <c r="AX48" i="20"/>
  <c r="AX47" i="20"/>
  <c r="AX46" i="20"/>
  <c r="AX45" i="20"/>
  <c r="AU45" i="20"/>
  <c r="AN44" i="20"/>
  <c r="AO44" i="20" s="1"/>
  <c r="AP44" i="20" s="1"/>
  <c r="AQ44" i="20" s="1"/>
  <c r="AS44" i="20" s="1"/>
  <c r="AT44" i="20" s="1"/>
  <c r="AU44" i="20" s="1"/>
  <c r="U44" i="20"/>
  <c r="V44" i="20" s="1"/>
  <c r="W44" i="20" s="1"/>
  <c r="X44" i="20" s="1"/>
  <c r="Y44" i="20" s="1"/>
  <c r="AA44" i="20" s="1"/>
  <c r="AB44" i="20" s="1"/>
  <c r="V42" i="20"/>
  <c r="AB36" i="20"/>
  <c r="V36" i="20"/>
  <c r="AB35" i="20"/>
  <c r="V35" i="20"/>
  <c r="AB33" i="20"/>
  <c r="V33" i="20"/>
  <c r="AB32" i="20"/>
  <c r="V32" i="20"/>
  <c r="AB31" i="20"/>
  <c r="V31" i="20"/>
  <c r="AB30" i="20"/>
  <c r="V30" i="20"/>
  <c r="S28" i="20"/>
  <c r="S27" i="20"/>
  <c r="AX17" i="20"/>
  <c r="AX16" i="20"/>
  <c r="AX15" i="20"/>
  <c r="AX14" i="20"/>
  <c r="AX13" i="20"/>
  <c r="AX12" i="20"/>
  <c r="AX11" i="20"/>
  <c r="AO11" i="20"/>
  <c r="W11" i="20"/>
  <c r="AX8" i="20"/>
  <c r="AX7" i="20"/>
  <c r="J7" i="20"/>
  <c r="AX6" i="20"/>
  <c r="AX5" i="20"/>
  <c r="AB5" i="20"/>
  <c r="S5" i="20"/>
  <c r="K8" i="20" s="1"/>
  <c r="S8" i="20" s="1"/>
  <c r="AX4" i="20"/>
  <c r="AB4" i="20"/>
  <c r="S4" i="20"/>
  <c r="AX3" i="20"/>
  <c r="AB3" i="20"/>
  <c r="S3" i="20"/>
  <c r="AX2" i="20"/>
  <c r="AB2" i="20"/>
  <c r="S2" i="20"/>
  <c r="AT65" i="19"/>
  <c r="AT64" i="19"/>
  <c r="AT63" i="19"/>
  <c r="AT62" i="19"/>
  <c r="AT61" i="19"/>
  <c r="AT60" i="19"/>
  <c r="AT59" i="19"/>
  <c r="AT58" i="19"/>
  <c r="AT57" i="19"/>
  <c r="AK57" i="19"/>
  <c r="AB57" i="19"/>
  <c r="AT56" i="19"/>
  <c r="AT55" i="19"/>
  <c r="AT54" i="19"/>
  <c r="AT53" i="19"/>
  <c r="AT52" i="19"/>
  <c r="AT51" i="19"/>
  <c r="AT50" i="19"/>
  <c r="AT49" i="19"/>
  <c r="AQ49" i="19"/>
  <c r="AJ48" i="19"/>
  <c r="AK48" i="19" s="1"/>
  <c r="AL48" i="19" s="1"/>
  <c r="AM48" i="19" s="1"/>
  <c r="AO48" i="19" s="1"/>
  <c r="AP48" i="19" s="1"/>
  <c r="AQ48" i="19" s="1"/>
  <c r="AA48" i="19"/>
  <c r="AB48" i="19" s="1"/>
  <c r="AC48" i="19" s="1"/>
  <c r="AD48" i="19" s="1"/>
  <c r="AF48" i="19" s="1"/>
  <c r="AG48" i="19" s="1"/>
  <c r="W48" i="19"/>
  <c r="X48" i="19" s="1"/>
  <c r="AG39" i="19"/>
  <c r="X39" i="19"/>
  <c r="AG38" i="19"/>
  <c r="X38" i="19"/>
  <c r="AG36" i="19"/>
  <c r="X36" i="19"/>
  <c r="AG35" i="19"/>
  <c r="X35" i="19"/>
  <c r="AG34" i="19"/>
  <c r="X34" i="19"/>
  <c r="AG33" i="19"/>
  <c r="X33" i="19"/>
  <c r="U31" i="19"/>
  <c r="U30" i="19"/>
  <c r="AK22" i="19"/>
  <c r="AT17" i="19"/>
  <c r="AT16" i="19"/>
  <c r="AT15" i="19"/>
  <c r="AT14" i="19"/>
  <c r="AT13" i="19"/>
  <c r="AT12" i="19"/>
  <c r="AT10" i="19"/>
  <c r="AK10" i="19"/>
  <c r="AB10" i="19"/>
  <c r="AT8" i="19"/>
  <c r="AT7" i="19"/>
  <c r="AT6" i="19"/>
  <c r="AT5" i="19"/>
  <c r="AG5" i="19"/>
  <c r="U5" i="19"/>
  <c r="I6" i="19" s="1"/>
  <c r="J7" i="19" s="1"/>
  <c r="AT4" i="19"/>
  <c r="AG4" i="19"/>
  <c r="U4" i="19"/>
  <c r="AT3" i="19"/>
  <c r="AG3" i="19"/>
  <c r="U3" i="19"/>
  <c r="AT2" i="19"/>
  <c r="AG2" i="19"/>
  <c r="U2" i="19"/>
  <c r="AP57" i="18"/>
  <c r="AP56" i="18"/>
  <c r="AP55" i="18"/>
  <c r="AP54" i="18"/>
  <c r="AP53" i="18"/>
  <c r="AP52" i="18"/>
  <c r="AP51" i="18"/>
  <c r="AP50" i="18"/>
  <c r="AG50" i="18"/>
  <c r="Y50" i="18"/>
  <c r="AP49" i="18"/>
  <c r="AP48" i="18"/>
  <c r="AP47" i="18"/>
  <c r="AP46" i="18"/>
  <c r="AP45" i="18"/>
  <c r="AP44" i="18"/>
  <c r="AP43" i="18"/>
  <c r="AM43" i="18"/>
  <c r="AF42" i="18"/>
  <c r="AG42" i="18" s="1"/>
  <c r="AH42" i="18" s="1"/>
  <c r="AI42" i="18" s="1"/>
  <c r="AK42" i="18" s="1"/>
  <c r="AL42" i="18" s="1"/>
  <c r="AM42" i="18" s="1"/>
  <c r="X42" i="18"/>
  <c r="Y42" i="18" s="1"/>
  <c r="Z42" i="18" s="1"/>
  <c r="AA42" i="18" s="1"/>
  <c r="AC42" i="18" s="1"/>
  <c r="AD42" i="18" s="1"/>
  <c r="U42" i="18"/>
  <c r="V42" i="18" s="1"/>
  <c r="AD35" i="18"/>
  <c r="V35" i="18"/>
  <c r="AD34" i="18"/>
  <c r="V34" i="18"/>
  <c r="AD32" i="18"/>
  <c r="V32" i="18"/>
  <c r="AD31" i="18"/>
  <c r="V31" i="18"/>
  <c r="AD30" i="18"/>
  <c r="V30" i="18"/>
  <c r="AD29" i="18"/>
  <c r="V29" i="18"/>
  <c r="S27" i="18"/>
  <c r="S26" i="18"/>
  <c r="AG18" i="18"/>
  <c r="AP15" i="18"/>
  <c r="AP14" i="18"/>
  <c r="AP13" i="18"/>
  <c r="AP12" i="18"/>
  <c r="AP11" i="18"/>
  <c r="AP10" i="18"/>
  <c r="AP9" i="18"/>
  <c r="AG9" i="18"/>
  <c r="Y9" i="18"/>
  <c r="AP8" i="18"/>
  <c r="AP7" i="18"/>
  <c r="AP6" i="18"/>
  <c r="I6" i="18"/>
  <c r="J7" i="18" s="1"/>
  <c r="AP5" i="18"/>
  <c r="AD5" i="18"/>
  <c r="S5" i="18"/>
  <c r="AP4" i="18"/>
  <c r="AD4" i="18"/>
  <c r="S4" i="18"/>
  <c r="AP3" i="18"/>
  <c r="AD3" i="18"/>
  <c r="S3" i="18"/>
  <c r="AP2" i="18"/>
  <c r="AD2" i="18"/>
  <c r="S2" i="18"/>
  <c r="AP57" i="17"/>
  <c r="AP56" i="17"/>
  <c r="AP55" i="17"/>
  <c r="AP54" i="17"/>
  <c r="AP53" i="17"/>
  <c r="AP52" i="17"/>
  <c r="AP51" i="17"/>
  <c r="AP50" i="17"/>
  <c r="AG50" i="17"/>
  <c r="Y50" i="17"/>
  <c r="AP49" i="17"/>
  <c r="AP48" i="17"/>
  <c r="AP47" i="17"/>
  <c r="AP46" i="17"/>
  <c r="AP45" i="17"/>
  <c r="AP44" i="17"/>
  <c r="AP43" i="17"/>
  <c r="AM43" i="17"/>
  <c r="AF42" i="17"/>
  <c r="AG42" i="17" s="1"/>
  <c r="AH42" i="17" s="1"/>
  <c r="AI42" i="17" s="1"/>
  <c r="AK42" i="17" s="1"/>
  <c r="AL42" i="17" s="1"/>
  <c r="AM42" i="17" s="1"/>
  <c r="X42" i="17"/>
  <c r="Y42" i="17" s="1"/>
  <c r="Z42" i="17" s="1"/>
  <c r="AA42" i="17" s="1"/>
  <c r="AC42" i="17" s="1"/>
  <c r="AD42" i="17" s="1"/>
  <c r="U42" i="17"/>
  <c r="V42" i="17" s="1"/>
  <c r="AD35" i="17"/>
  <c r="V35" i="17"/>
  <c r="AD34" i="17"/>
  <c r="V34" i="17"/>
  <c r="AD32" i="17"/>
  <c r="V32" i="17"/>
  <c r="AD31" i="17"/>
  <c r="V31" i="17"/>
  <c r="AD30" i="17"/>
  <c r="V30" i="17"/>
  <c r="AD29" i="17"/>
  <c r="V29" i="17"/>
  <c r="S27" i="17"/>
  <c r="S26" i="17"/>
  <c r="AG18" i="17"/>
  <c r="AP15" i="17"/>
  <c r="AP14" i="17"/>
  <c r="AP13" i="17"/>
  <c r="AP12" i="17"/>
  <c r="AP11" i="17"/>
  <c r="AP10" i="17"/>
  <c r="AP9" i="17"/>
  <c r="AG9" i="17"/>
  <c r="Y9" i="17"/>
  <c r="AP8" i="17"/>
  <c r="AP7" i="17"/>
  <c r="AP6" i="17"/>
  <c r="I6" i="17"/>
  <c r="J7" i="17" s="1"/>
  <c r="AP5" i="17"/>
  <c r="AD5" i="17"/>
  <c r="S5" i="17"/>
  <c r="AP4" i="17"/>
  <c r="AD4" i="17"/>
  <c r="S4" i="17"/>
  <c r="AP3" i="17"/>
  <c r="AD3" i="17"/>
  <c r="S3" i="17"/>
  <c r="AP2" i="17"/>
  <c r="AD2" i="17"/>
  <c r="S2" i="17"/>
  <c r="AP57" i="16"/>
  <c r="AP56" i="16"/>
  <c r="AP55" i="16"/>
  <c r="AP54" i="16"/>
  <c r="AP53" i="16"/>
  <c r="AP52" i="16"/>
  <c r="AP51" i="16"/>
  <c r="AP50" i="16"/>
  <c r="AG50" i="16"/>
  <c r="Y50" i="16"/>
  <c r="AP49" i="16"/>
  <c r="AP48" i="16"/>
  <c r="AP47" i="16"/>
  <c r="AP46" i="16"/>
  <c r="AP45" i="16"/>
  <c r="AP44" i="16"/>
  <c r="AP43" i="16"/>
  <c r="AM43" i="16"/>
  <c r="AF42" i="16"/>
  <c r="AG42" i="16" s="1"/>
  <c r="AH42" i="16" s="1"/>
  <c r="AI42" i="16" s="1"/>
  <c r="AK42" i="16" s="1"/>
  <c r="AL42" i="16" s="1"/>
  <c r="AM42" i="16" s="1"/>
  <c r="X42" i="16"/>
  <c r="Y42" i="16" s="1"/>
  <c r="Z42" i="16" s="1"/>
  <c r="AA42" i="16" s="1"/>
  <c r="AC42" i="16" s="1"/>
  <c r="AD42" i="16" s="1"/>
  <c r="U42" i="16"/>
  <c r="V42" i="16" s="1"/>
  <c r="AD35" i="16"/>
  <c r="V35" i="16"/>
  <c r="AD34" i="16"/>
  <c r="V34" i="16"/>
  <c r="AD32" i="16"/>
  <c r="V32" i="16"/>
  <c r="AD31" i="16"/>
  <c r="V31" i="16"/>
  <c r="AD30" i="16"/>
  <c r="V30" i="16"/>
  <c r="AD29" i="16"/>
  <c r="V29" i="16"/>
  <c r="S27" i="16"/>
  <c r="S26" i="16"/>
  <c r="AG18" i="16"/>
  <c r="AP15" i="16"/>
  <c r="AP14" i="16"/>
  <c r="AP13" i="16"/>
  <c r="AP12" i="16"/>
  <c r="AP11" i="16"/>
  <c r="AP10" i="16"/>
  <c r="AP9" i="16"/>
  <c r="AG9" i="16"/>
  <c r="Y9" i="16"/>
  <c r="AP8" i="16"/>
  <c r="AP7" i="16"/>
  <c r="S7" i="16"/>
  <c r="J7" i="16"/>
  <c r="K8" i="16" s="1"/>
  <c r="S8" i="16" s="1"/>
  <c r="AP6" i="16"/>
  <c r="I6" i="16"/>
  <c r="AP5" i="16"/>
  <c r="AD5" i="16"/>
  <c r="S5" i="16"/>
  <c r="AP4" i="16"/>
  <c r="AD4" i="16"/>
  <c r="S4" i="16"/>
  <c r="AP3" i="16"/>
  <c r="AD3" i="16"/>
  <c r="S3" i="16"/>
  <c r="AP2" i="16"/>
  <c r="AD2" i="16"/>
  <c r="S2" i="16"/>
  <c r="AP57" i="15"/>
  <c r="AP56" i="15"/>
  <c r="AP55" i="15"/>
  <c r="AP54" i="15"/>
  <c r="AP53" i="15"/>
  <c r="AP52" i="15"/>
  <c r="AP51" i="15"/>
  <c r="AP50" i="15"/>
  <c r="AG50" i="15"/>
  <c r="Y50" i="15"/>
  <c r="AP49" i="15"/>
  <c r="AP48" i="15"/>
  <c r="AP47" i="15"/>
  <c r="AP46" i="15"/>
  <c r="AP45" i="15"/>
  <c r="AP44" i="15"/>
  <c r="AP43" i="15"/>
  <c r="AM43" i="15"/>
  <c r="AF42" i="15"/>
  <c r="AG42" i="15" s="1"/>
  <c r="AH42" i="15" s="1"/>
  <c r="AI42" i="15" s="1"/>
  <c r="AK42" i="15" s="1"/>
  <c r="AL42" i="15" s="1"/>
  <c r="AM42" i="15" s="1"/>
  <c r="X42" i="15"/>
  <c r="Y42" i="15" s="1"/>
  <c r="Z42" i="15" s="1"/>
  <c r="AA42" i="15" s="1"/>
  <c r="AC42" i="15" s="1"/>
  <c r="AD42" i="15" s="1"/>
  <c r="U42" i="15"/>
  <c r="V42" i="15" s="1"/>
  <c r="AD35" i="15"/>
  <c r="V35" i="15"/>
  <c r="AD34" i="15"/>
  <c r="V34" i="15"/>
  <c r="AD32" i="15"/>
  <c r="V32" i="15"/>
  <c r="AD31" i="15"/>
  <c r="V31" i="15"/>
  <c r="AD30" i="15"/>
  <c r="V30" i="15"/>
  <c r="AD29" i="15"/>
  <c r="V29" i="15"/>
  <c r="S27" i="15"/>
  <c r="S26" i="15"/>
  <c r="AG18" i="15"/>
  <c r="AP15" i="15"/>
  <c r="AP14" i="15"/>
  <c r="AP13" i="15"/>
  <c r="AP12" i="15"/>
  <c r="AP11" i="15"/>
  <c r="AP10" i="15"/>
  <c r="AP9" i="15"/>
  <c r="AG9" i="15"/>
  <c r="Y9" i="15"/>
  <c r="AP8" i="15"/>
  <c r="AP7" i="15"/>
  <c r="AP6" i="15"/>
  <c r="AP5" i="15"/>
  <c r="AD5" i="15"/>
  <c r="S5" i="15"/>
  <c r="I6" i="15" s="1"/>
  <c r="AP4" i="15"/>
  <c r="AD4" i="15"/>
  <c r="S4" i="15"/>
  <c r="AP3" i="15"/>
  <c r="AD3" i="15"/>
  <c r="S3" i="15"/>
  <c r="AP2" i="15"/>
  <c r="AD2" i="15"/>
  <c r="S2" i="15"/>
  <c r="AP57" i="14"/>
  <c r="AP56" i="14"/>
  <c r="AP55" i="14"/>
  <c r="AP54" i="14"/>
  <c r="AP53" i="14"/>
  <c r="AP52" i="14"/>
  <c r="AP51" i="14"/>
  <c r="AP50" i="14"/>
  <c r="AG50" i="14"/>
  <c r="Y50" i="14"/>
  <c r="AP49" i="14"/>
  <c r="AP48" i="14"/>
  <c r="AP47" i="14"/>
  <c r="AP46" i="14"/>
  <c r="AP45" i="14"/>
  <c r="AP44" i="14"/>
  <c r="AP43" i="14"/>
  <c r="AM43" i="14"/>
  <c r="AF42" i="14"/>
  <c r="AG42" i="14" s="1"/>
  <c r="AH42" i="14" s="1"/>
  <c r="AI42" i="14" s="1"/>
  <c r="AK42" i="14" s="1"/>
  <c r="AL42" i="14" s="1"/>
  <c r="AM42" i="14" s="1"/>
  <c r="X42" i="14"/>
  <c r="Y42" i="14" s="1"/>
  <c r="Z42" i="14" s="1"/>
  <c r="AA42" i="14" s="1"/>
  <c r="AC42" i="14" s="1"/>
  <c r="AD42" i="14" s="1"/>
  <c r="U42" i="14"/>
  <c r="V42" i="14" s="1"/>
  <c r="AD35" i="14"/>
  <c r="V35" i="14"/>
  <c r="AD34" i="14"/>
  <c r="V34" i="14"/>
  <c r="AD32" i="14"/>
  <c r="V32" i="14"/>
  <c r="AD31" i="14"/>
  <c r="V31" i="14"/>
  <c r="AD30" i="14"/>
  <c r="V30" i="14"/>
  <c r="AD29" i="14"/>
  <c r="V29" i="14"/>
  <c r="S27" i="14"/>
  <c r="S26" i="14"/>
  <c r="AG18" i="14"/>
  <c r="AP15" i="14"/>
  <c r="AP14" i="14"/>
  <c r="AP13" i="14"/>
  <c r="AP12" i="14"/>
  <c r="AP11" i="14"/>
  <c r="AP10" i="14"/>
  <c r="AP9" i="14"/>
  <c r="AG9" i="14"/>
  <c r="Y9" i="14"/>
  <c r="AP8" i="14"/>
  <c r="K8" i="14"/>
  <c r="S8" i="14" s="1"/>
  <c r="AP7" i="14"/>
  <c r="J7" i="14"/>
  <c r="S7" i="14" s="1"/>
  <c r="AP6" i="14"/>
  <c r="I6" i="14"/>
  <c r="S6" i="14" s="1"/>
  <c r="AP5" i="14"/>
  <c r="AD5" i="14"/>
  <c r="S5" i="14"/>
  <c r="AP4" i="14"/>
  <c r="AD4" i="14"/>
  <c r="S4" i="14"/>
  <c r="AP3" i="14"/>
  <c r="AD3" i="14"/>
  <c r="S3" i="14"/>
  <c r="AP2" i="14"/>
  <c r="AD2" i="14"/>
  <c r="S2" i="14"/>
  <c r="AP57" i="13"/>
  <c r="AP56" i="13"/>
  <c r="AP55" i="13"/>
  <c r="AP54" i="13"/>
  <c r="AP53" i="13"/>
  <c r="AP52" i="13"/>
  <c r="AP51" i="13"/>
  <c r="AP50" i="13"/>
  <c r="AG50" i="13"/>
  <c r="Y50" i="13"/>
  <c r="AP49" i="13"/>
  <c r="AP48" i="13"/>
  <c r="AP47" i="13"/>
  <c r="AP46" i="13"/>
  <c r="AP45" i="13"/>
  <c r="AP44" i="13"/>
  <c r="AP43" i="13"/>
  <c r="AM43" i="13"/>
  <c r="AF42" i="13"/>
  <c r="AG42" i="13" s="1"/>
  <c r="AH42" i="13" s="1"/>
  <c r="AI42" i="13" s="1"/>
  <c r="AK42" i="13" s="1"/>
  <c r="AL42" i="13" s="1"/>
  <c r="AM42" i="13" s="1"/>
  <c r="X42" i="13"/>
  <c r="Y42" i="13" s="1"/>
  <c r="Z42" i="13" s="1"/>
  <c r="AA42" i="13" s="1"/>
  <c r="AC42" i="13" s="1"/>
  <c r="AD42" i="13" s="1"/>
  <c r="U42" i="13"/>
  <c r="V42" i="13" s="1"/>
  <c r="AD35" i="13"/>
  <c r="V35" i="13"/>
  <c r="AD34" i="13"/>
  <c r="V34" i="13"/>
  <c r="AD32" i="13"/>
  <c r="V32" i="13"/>
  <c r="AD31" i="13"/>
  <c r="V31" i="13"/>
  <c r="AD30" i="13"/>
  <c r="V30" i="13"/>
  <c r="AD29" i="13"/>
  <c r="V29" i="13"/>
  <c r="S27" i="13"/>
  <c r="S26" i="13"/>
  <c r="AG18" i="13"/>
  <c r="AP15" i="13"/>
  <c r="AP14" i="13"/>
  <c r="AP13" i="13"/>
  <c r="AP12" i="13"/>
  <c r="AP11" i="13"/>
  <c r="AP10" i="13"/>
  <c r="AP9" i="13"/>
  <c r="AG9" i="13"/>
  <c r="Y9" i="13"/>
  <c r="AP8" i="13"/>
  <c r="AP7" i="13"/>
  <c r="AP6" i="13"/>
  <c r="AP5" i="13"/>
  <c r="AD5" i="13"/>
  <c r="S5" i="13"/>
  <c r="I6" i="13" s="1"/>
  <c r="AP4" i="13"/>
  <c r="AD4" i="13"/>
  <c r="S4" i="13"/>
  <c r="AP3" i="13"/>
  <c r="AD3" i="13"/>
  <c r="S3" i="13"/>
  <c r="AP2" i="13"/>
  <c r="AD2" i="13"/>
  <c r="S2" i="13"/>
  <c r="AP163" i="12"/>
  <c r="AP162" i="12"/>
  <c r="AP161" i="12"/>
  <c r="AP160" i="12"/>
  <c r="AP159" i="12"/>
  <c r="AP158" i="12"/>
  <c r="AP157" i="12"/>
  <c r="AP156" i="12"/>
  <c r="AG156" i="12"/>
  <c r="Y156" i="12"/>
  <c r="AP155" i="12"/>
  <c r="AP154" i="12"/>
  <c r="AP153" i="12"/>
  <c r="AP152" i="12"/>
  <c r="AP151" i="12"/>
  <c r="AP150" i="12"/>
  <c r="AP149" i="12"/>
  <c r="AP148" i="12"/>
  <c r="AP147" i="12"/>
  <c r="AP146" i="12"/>
  <c r="AP145" i="12"/>
  <c r="AP144" i="12"/>
  <c r="AP143" i="12"/>
  <c r="AP142" i="12"/>
  <c r="AG142" i="12"/>
  <c r="Y142" i="12"/>
  <c r="AP141" i="12"/>
  <c r="AD141" i="12"/>
  <c r="AP140" i="12"/>
  <c r="AP139" i="12"/>
  <c r="AP138" i="12"/>
  <c r="AG138" i="12"/>
  <c r="Y138" i="12"/>
  <c r="AP137" i="12"/>
  <c r="AD137" i="12"/>
  <c r="AP136" i="12"/>
  <c r="AP135" i="12"/>
  <c r="AP134" i="12"/>
  <c r="AG134" i="12"/>
  <c r="Y134" i="12"/>
  <c r="AP133" i="12"/>
  <c r="AP132" i="12"/>
  <c r="AP131" i="12"/>
  <c r="AP130" i="12"/>
  <c r="AP129" i="12"/>
  <c r="AP128" i="12"/>
  <c r="AP127" i="12"/>
  <c r="AP126" i="12"/>
  <c r="AP125" i="12"/>
  <c r="AP124" i="12"/>
  <c r="AP123" i="12"/>
  <c r="AP122" i="12"/>
  <c r="AP121" i="12"/>
  <c r="AP120" i="12"/>
  <c r="AG120" i="12"/>
  <c r="Y120" i="12"/>
  <c r="AP119" i="12"/>
  <c r="AP118" i="12"/>
  <c r="AP117" i="12"/>
  <c r="AP116" i="12"/>
  <c r="AP115" i="12"/>
  <c r="AP114" i="12"/>
  <c r="AP113" i="12"/>
  <c r="AP112" i="12"/>
  <c r="AP111" i="12"/>
  <c r="AP110" i="12"/>
  <c r="AP109" i="12"/>
  <c r="AP108" i="12"/>
  <c r="AP107" i="12"/>
  <c r="AP106" i="12"/>
  <c r="AG106" i="12"/>
  <c r="Y106" i="12"/>
  <c r="AP105" i="12"/>
  <c r="AP104" i="12"/>
  <c r="AP103" i="12"/>
  <c r="AP102" i="12"/>
  <c r="AP101" i="12"/>
  <c r="AP100" i="12"/>
  <c r="AP99" i="12"/>
  <c r="AP98" i="12"/>
  <c r="AP97" i="12"/>
  <c r="AP96" i="12"/>
  <c r="AP95" i="12"/>
  <c r="AP94" i="12"/>
  <c r="AP93" i="12"/>
  <c r="AP92" i="12"/>
  <c r="AG92" i="12"/>
  <c r="Y92" i="12"/>
  <c r="AP91" i="12"/>
  <c r="AP90" i="12"/>
  <c r="AP89" i="12"/>
  <c r="AP88" i="12"/>
  <c r="AP87" i="12"/>
  <c r="AP86" i="12"/>
  <c r="AP85" i="12"/>
  <c r="AP84" i="12"/>
  <c r="AP83" i="12"/>
  <c r="AP82" i="12"/>
  <c r="AP81" i="12"/>
  <c r="AP80" i="12"/>
  <c r="AP79" i="12"/>
  <c r="AP78" i="12"/>
  <c r="AG78" i="12"/>
  <c r="Y78" i="12"/>
  <c r="AP77" i="12"/>
  <c r="AP76" i="12"/>
  <c r="AP75" i="12"/>
  <c r="AP74" i="12"/>
  <c r="AP73" i="12"/>
  <c r="AP72" i="12"/>
  <c r="AP71" i="12"/>
  <c r="AP70" i="12"/>
  <c r="AP69" i="12"/>
  <c r="AP68" i="12"/>
  <c r="AP67" i="12"/>
  <c r="AP66" i="12"/>
  <c r="AP65" i="12"/>
  <c r="AP64" i="12"/>
  <c r="AG64" i="12"/>
  <c r="Y64" i="12"/>
  <c r="AP63" i="12"/>
  <c r="AP62" i="12"/>
  <c r="AP61" i="12"/>
  <c r="AP60" i="12"/>
  <c r="AP59" i="12"/>
  <c r="AP58" i="12"/>
  <c r="AP57" i="12"/>
  <c r="AP56" i="12"/>
  <c r="AP55" i="12"/>
  <c r="AP54" i="12"/>
  <c r="AP53" i="12"/>
  <c r="AP52" i="12"/>
  <c r="AP51" i="12"/>
  <c r="AP50" i="12"/>
  <c r="AG50" i="12"/>
  <c r="Y50" i="12"/>
  <c r="AP49" i="12"/>
  <c r="AP48" i="12"/>
  <c r="AP47" i="12"/>
  <c r="AP46" i="12"/>
  <c r="AP45" i="12"/>
  <c r="AP44" i="12"/>
  <c r="AP43" i="12"/>
  <c r="AM43" i="12"/>
  <c r="AF42" i="12"/>
  <c r="AG42" i="12" s="1"/>
  <c r="AH42" i="12" s="1"/>
  <c r="AI42" i="12" s="1"/>
  <c r="AK42" i="12" s="1"/>
  <c r="AL42" i="12" s="1"/>
  <c r="AM42" i="12" s="1"/>
  <c r="X42" i="12"/>
  <c r="Y42" i="12" s="1"/>
  <c r="Z42" i="12" s="1"/>
  <c r="AA42" i="12" s="1"/>
  <c r="AC42" i="12" s="1"/>
  <c r="AD42" i="12" s="1"/>
  <c r="U42" i="12"/>
  <c r="V42" i="12" s="1"/>
  <c r="AD35" i="12"/>
  <c r="V35" i="12"/>
  <c r="AD34" i="12"/>
  <c r="V34" i="12"/>
  <c r="AD32" i="12"/>
  <c r="V32" i="12"/>
  <c r="AD31" i="12"/>
  <c r="V31" i="12"/>
  <c r="AD30" i="12"/>
  <c r="V30" i="12"/>
  <c r="AD29" i="12"/>
  <c r="V29" i="12"/>
  <c r="S27" i="12"/>
  <c r="S26" i="12"/>
  <c r="AG18" i="12"/>
  <c r="AP15" i="12"/>
  <c r="AP14" i="12"/>
  <c r="AP13" i="12"/>
  <c r="AP12" i="12"/>
  <c r="AP11" i="12"/>
  <c r="AP10" i="12"/>
  <c r="AP9" i="12"/>
  <c r="AG9" i="12"/>
  <c r="Y9" i="12"/>
  <c r="AP8" i="12"/>
  <c r="AP7" i="12"/>
  <c r="AP6" i="12"/>
  <c r="AP5" i="12"/>
  <c r="AD5" i="12"/>
  <c r="S5" i="12"/>
  <c r="I6" i="12" s="1"/>
  <c r="AP4" i="12"/>
  <c r="AD4" i="12"/>
  <c r="S4" i="12"/>
  <c r="AP3" i="12"/>
  <c r="AD3" i="12"/>
  <c r="S3" i="12"/>
  <c r="AP2" i="12"/>
  <c r="AD2" i="12"/>
  <c r="S2" i="12"/>
  <c r="AP57" i="11"/>
  <c r="AP56" i="11"/>
  <c r="AP55" i="11"/>
  <c r="AP54" i="11"/>
  <c r="AP53" i="11"/>
  <c r="AP52" i="11"/>
  <c r="AP51" i="11"/>
  <c r="AP50" i="11"/>
  <c r="AG50" i="11"/>
  <c r="Y50" i="11"/>
  <c r="AP49" i="11"/>
  <c r="AP48" i="11"/>
  <c r="AP47" i="11"/>
  <c r="AP46" i="11"/>
  <c r="AP45" i="11"/>
  <c r="AP44" i="11"/>
  <c r="AP43" i="11"/>
  <c r="AM43" i="11"/>
  <c r="AF42" i="11"/>
  <c r="AG42" i="11" s="1"/>
  <c r="AH42" i="11" s="1"/>
  <c r="AI42" i="11" s="1"/>
  <c r="AK42" i="11" s="1"/>
  <c r="AL42" i="11" s="1"/>
  <c r="AM42" i="11" s="1"/>
  <c r="X42" i="11"/>
  <c r="Y42" i="11" s="1"/>
  <c r="Z42" i="11" s="1"/>
  <c r="AA42" i="11" s="1"/>
  <c r="AC42" i="11" s="1"/>
  <c r="AD42" i="11" s="1"/>
  <c r="U42" i="11"/>
  <c r="V42" i="11" s="1"/>
  <c r="AD35" i="11"/>
  <c r="V35" i="11"/>
  <c r="AD34" i="11"/>
  <c r="V34" i="11"/>
  <c r="AD32" i="11"/>
  <c r="V32" i="11"/>
  <c r="AD31" i="11"/>
  <c r="V31" i="11"/>
  <c r="AD30" i="11"/>
  <c r="V30" i="11"/>
  <c r="AD29" i="11"/>
  <c r="V29" i="11"/>
  <c r="S27" i="11"/>
  <c r="S26" i="11"/>
  <c r="AG18" i="11"/>
  <c r="AP15" i="11"/>
  <c r="AP14" i="11"/>
  <c r="AP13" i="11"/>
  <c r="AP12" i="11"/>
  <c r="AP11" i="11"/>
  <c r="AP10" i="11"/>
  <c r="AP9" i="11"/>
  <c r="AG9" i="11"/>
  <c r="Y9" i="11"/>
  <c r="AP8" i="11"/>
  <c r="AP7" i="11"/>
  <c r="J7" i="11"/>
  <c r="K8" i="11" s="1"/>
  <c r="S8" i="11" s="1"/>
  <c r="AP6" i="11"/>
  <c r="I6" i="11"/>
  <c r="S6" i="11" s="1"/>
  <c r="AP5" i="11"/>
  <c r="AD5" i="11"/>
  <c r="S5" i="11"/>
  <c r="AP4" i="11"/>
  <c r="AD4" i="11"/>
  <c r="S4" i="11"/>
  <c r="AP3" i="11"/>
  <c r="AD3" i="11"/>
  <c r="S3" i="11"/>
  <c r="AP2" i="11"/>
  <c r="AD2" i="11"/>
  <c r="S2" i="11"/>
  <c r="G15" i="10"/>
  <c r="E5" i="10"/>
  <c r="D7" i="9"/>
  <c r="F13" i="8"/>
  <c r="E13" i="8"/>
  <c r="F8" i="8"/>
  <c r="E8" i="8"/>
  <c r="D5" i="8"/>
  <c r="D4" i="8"/>
  <c r="D54" i="7"/>
  <c r="D53" i="7"/>
  <c r="G51" i="7"/>
  <c r="E46" i="7"/>
  <c r="G45" i="7"/>
  <c r="E44" i="7"/>
  <c r="G43" i="7"/>
  <c r="E43" i="7"/>
  <c r="G39" i="7"/>
  <c r="E39" i="7"/>
  <c r="E38" i="7"/>
  <c r="E37" i="7"/>
  <c r="G36" i="7"/>
  <c r="E36" i="7"/>
  <c r="G35" i="7"/>
  <c r="E35" i="7"/>
  <c r="G34" i="7"/>
  <c r="E34" i="7"/>
  <c r="E33" i="7"/>
  <c r="D33" i="7"/>
  <c r="D37" i="7" s="1"/>
  <c r="D38" i="7" s="1"/>
  <c r="D39" i="7" s="1"/>
  <c r="A33" i="7"/>
  <c r="G29" i="7"/>
  <c r="G28" i="7"/>
  <c r="G27" i="7"/>
  <c r="D22" i="7"/>
  <c r="D21" i="7"/>
  <c r="D20" i="7"/>
  <c r="D19" i="7"/>
  <c r="D23" i="7" s="1"/>
  <c r="E18" i="7"/>
  <c r="G17" i="7"/>
  <c r="E17" i="7"/>
  <c r="G16" i="7"/>
  <c r="E16" i="7"/>
  <c r="F15" i="7"/>
  <c r="F14" i="7"/>
  <c r="G13" i="7"/>
  <c r="E13" i="7"/>
  <c r="E12" i="7"/>
  <c r="F11" i="7"/>
  <c r="D5" i="7"/>
  <c r="D4" i="7"/>
  <c r="D5" i="6"/>
  <c r="AQ159" i="5"/>
  <c r="AP159" i="5"/>
  <c r="S48" i="29" s="1"/>
  <c r="K52" i="29" s="1"/>
  <c r="S52" i="29" s="1"/>
  <c r="AO159" i="5"/>
  <c r="S47" i="29" s="1"/>
  <c r="AN159" i="5"/>
  <c r="S46" i="29" s="1"/>
  <c r="AM159" i="5"/>
  <c r="AL159" i="5"/>
  <c r="AD48" i="29" s="1"/>
  <c r="AK159" i="5"/>
  <c r="AD47" i="29" s="1"/>
  <c r="AJ159" i="5"/>
  <c r="AI159" i="5"/>
  <c r="AH159" i="5"/>
  <c r="AQ154" i="5"/>
  <c r="AP154" i="5"/>
  <c r="S43" i="28" s="1"/>
  <c r="I44" i="28" s="1"/>
  <c r="AO154" i="5"/>
  <c r="S42" i="28" s="1"/>
  <c r="AN154" i="5"/>
  <c r="S41" i="28" s="1"/>
  <c r="AM154" i="5"/>
  <c r="AL154" i="5"/>
  <c r="AC43" i="28" s="1"/>
  <c r="AK154" i="5"/>
  <c r="AC42" i="28" s="1"/>
  <c r="AJ154" i="5"/>
  <c r="AI154" i="5"/>
  <c r="AH154" i="5"/>
  <c r="AQ149" i="5"/>
  <c r="AP149" i="5"/>
  <c r="S43" i="27" s="1"/>
  <c r="I44" i="27" s="1"/>
  <c r="AO149" i="5"/>
  <c r="S42" i="27" s="1"/>
  <c r="AN149" i="5"/>
  <c r="S41" i="27" s="1"/>
  <c r="AM149" i="5"/>
  <c r="AL149" i="5"/>
  <c r="AC43" i="27" s="1"/>
  <c r="AK149" i="5"/>
  <c r="AC42" i="27" s="1"/>
  <c r="AJ149" i="5"/>
  <c r="AI149" i="5"/>
  <c r="AH149" i="5"/>
  <c r="AQ143" i="5"/>
  <c r="AP143" i="5"/>
  <c r="S48" i="32" s="1"/>
  <c r="K52" i="32" s="1"/>
  <c r="S52" i="32" s="1"/>
  <c r="AO143" i="5"/>
  <c r="S47" i="32" s="1"/>
  <c r="AN143" i="5"/>
  <c r="S46" i="32" s="1"/>
  <c r="AM143" i="5"/>
  <c r="AL143" i="5"/>
  <c r="AD48" i="32" s="1"/>
  <c r="AK143" i="5"/>
  <c r="AD47" i="32" s="1"/>
  <c r="AJ143" i="5"/>
  <c r="AI143" i="5"/>
  <c r="AH143" i="5"/>
  <c r="AQ138" i="5"/>
  <c r="AP138" i="5"/>
  <c r="S44" i="31" s="1"/>
  <c r="I45" i="31" s="1"/>
  <c r="AO138" i="5"/>
  <c r="S43" i="31" s="1"/>
  <c r="AN138" i="5"/>
  <c r="S42" i="31" s="1"/>
  <c r="AM138" i="5"/>
  <c r="AL138" i="5"/>
  <c r="AG44" i="31" s="1"/>
  <c r="AK138" i="5"/>
  <c r="AG43" i="31" s="1"/>
  <c r="AJ138" i="5"/>
  <c r="AI138" i="5"/>
  <c r="AH138" i="5"/>
  <c r="AQ133" i="5"/>
  <c r="AP133" i="5"/>
  <c r="S44" i="30" s="1"/>
  <c r="I45" i="30" s="1"/>
  <c r="AO133" i="5"/>
  <c r="S43" i="30" s="1"/>
  <c r="AN133" i="5"/>
  <c r="S42" i="30" s="1"/>
  <c r="AM133" i="5"/>
  <c r="AL133" i="5"/>
  <c r="AG44" i="30" s="1"/>
  <c r="AK133" i="5"/>
  <c r="AG43" i="30" s="1"/>
  <c r="AJ133" i="5"/>
  <c r="AI133" i="5"/>
  <c r="AH133" i="5"/>
  <c r="AQ127" i="5"/>
  <c r="AP127" i="5"/>
  <c r="S48" i="26" s="1"/>
  <c r="K52" i="26" s="1"/>
  <c r="S52" i="26" s="1"/>
  <c r="AO127" i="5"/>
  <c r="S47" i="26" s="1"/>
  <c r="AN127" i="5"/>
  <c r="S46" i="26" s="1"/>
  <c r="AM127" i="5"/>
  <c r="AL127" i="5"/>
  <c r="AD48" i="26" s="1"/>
  <c r="AK127" i="5"/>
  <c r="AD47" i="26" s="1"/>
  <c r="AJ127" i="5"/>
  <c r="AI127" i="5"/>
  <c r="AH127" i="5"/>
  <c r="AQ122" i="5"/>
  <c r="AP122" i="5"/>
  <c r="S43" i="24" s="1"/>
  <c r="I44" i="24" s="1"/>
  <c r="AO122" i="5"/>
  <c r="S42" i="24" s="1"/>
  <c r="AN122" i="5"/>
  <c r="S41" i="24" s="1"/>
  <c r="AM122" i="5"/>
  <c r="AL122" i="5"/>
  <c r="AC43" i="24" s="1"/>
  <c r="AK122" i="5"/>
  <c r="AC42" i="24" s="1"/>
  <c r="AJ122" i="5"/>
  <c r="AI122" i="5"/>
  <c r="AH122" i="5"/>
  <c r="AQ117" i="5"/>
  <c r="AP117" i="5"/>
  <c r="S43" i="23" s="1"/>
  <c r="I44" i="23" s="1"/>
  <c r="AO117" i="5"/>
  <c r="S42" i="23" s="1"/>
  <c r="AN117" i="5"/>
  <c r="S41" i="23" s="1"/>
  <c r="AM117" i="5"/>
  <c r="AL117" i="5"/>
  <c r="AC43" i="23" s="1"/>
  <c r="AK117" i="5"/>
  <c r="AC42" i="23" s="1"/>
  <c r="AJ117" i="5"/>
  <c r="AI117" i="5"/>
  <c r="AH117" i="5"/>
  <c r="AQ112" i="5"/>
  <c r="AP112" i="5"/>
  <c r="S43" i="22" s="1"/>
  <c r="I44" i="22" s="1"/>
  <c r="AO112" i="5"/>
  <c r="S42" i="22" s="1"/>
  <c r="AN112" i="5"/>
  <c r="S41" i="22" s="1"/>
  <c r="AM112" i="5"/>
  <c r="AL112" i="5"/>
  <c r="AC43" i="22" s="1"/>
  <c r="AK112" i="5"/>
  <c r="AC42" i="22" s="1"/>
  <c r="AJ112" i="5"/>
  <c r="AI112" i="5"/>
  <c r="AH112" i="5"/>
  <c r="AQ107" i="5"/>
  <c r="AP107" i="5"/>
  <c r="S43" i="21" s="1"/>
  <c r="I44" i="21" s="1"/>
  <c r="AO107" i="5"/>
  <c r="S42" i="21" s="1"/>
  <c r="AN107" i="5"/>
  <c r="S41" i="21" s="1"/>
  <c r="AM107" i="5"/>
  <c r="AL107" i="5"/>
  <c r="AC43" i="21" s="1"/>
  <c r="AK107" i="5"/>
  <c r="AC42" i="21" s="1"/>
  <c r="AJ107" i="5"/>
  <c r="AI107" i="5"/>
  <c r="AH107" i="5"/>
  <c r="AQ91" i="5"/>
  <c r="S46" i="13" s="1"/>
  <c r="I47" i="13" s="1"/>
  <c r="AP91" i="5"/>
  <c r="S45" i="14" s="1"/>
  <c r="AO91" i="5"/>
  <c r="S44" i="14" s="1"/>
  <c r="AN91" i="5"/>
  <c r="S43" i="14" s="1"/>
  <c r="AM91" i="5"/>
  <c r="AD46" i="14" s="1"/>
  <c r="AL91" i="5"/>
  <c r="AD45" i="14" s="1"/>
  <c r="AK91" i="5"/>
  <c r="AD44" i="13" s="1"/>
  <c r="AJ91" i="5"/>
  <c r="AD43" i="13" s="1"/>
  <c r="AI91" i="5"/>
  <c r="AH91" i="5"/>
  <c r="AQ86" i="5"/>
  <c r="S45" i="25" s="1"/>
  <c r="AP86" i="5"/>
  <c r="S44" i="25" s="1"/>
  <c r="AO86" i="5"/>
  <c r="S43" i="25" s="1"/>
  <c r="AN86" i="5"/>
  <c r="S42" i="25" s="1"/>
  <c r="AM86" i="5"/>
  <c r="AC45" i="25" s="1"/>
  <c r="AL86" i="5"/>
  <c r="AC44" i="25" s="1"/>
  <c r="AK86" i="5"/>
  <c r="AC43" i="25" s="1"/>
  <c r="AJ86" i="5"/>
  <c r="AI86" i="5"/>
  <c r="AH86" i="5"/>
  <c r="AQ81" i="5"/>
  <c r="S48" i="20" s="1"/>
  <c r="AP81" i="5"/>
  <c r="S47" i="20" s="1"/>
  <c r="AO81" i="5"/>
  <c r="S46" i="20" s="1"/>
  <c r="AN81" i="5"/>
  <c r="S45" i="20" s="1"/>
  <c r="AM81" i="5"/>
  <c r="AB48" i="20" s="1"/>
  <c r="AL81" i="5"/>
  <c r="AB47" i="20" s="1"/>
  <c r="AK81" i="5"/>
  <c r="AB46" i="20" s="1"/>
  <c r="AJ81" i="5"/>
  <c r="AI81" i="5"/>
  <c r="AH81" i="5"/>
  <c r="AQ76" i="5"/>
  <c r="S46" i="15" s="1"/>
  <c r="I47" i="15" s="1"/>
  <c r="AP76" i="5"/>
  <c r="S45" i="15" s="1"/>
  <c r="AO76" i="5"/>
  <c r="S44" i="15" s="1"/>
  <c r="AN76" i="5"/>
  <c r="S43" i="15" s="1"/>
  <c r="AM76" i="5"/>
  <c r="AD46" i="15" s="1"/>
  <c r="AL76" i="5"/>
  <c r="AD45" i="15" s="1"/>
  <c r="AK76" i="5"/>
  <c r="AD44" i="15" s="1"/>
  <c r="AJ76" i="5"/>
  <c r="AI76" i="5"/>
  <c r="AH76" i="5"/>
  <c r="AQ71" i="5"/>
  <c r="S46" i="18" s="1"/>
  <c r="AP71" i="5"/>
  <c r="S45" i="18" s="1"/>
  <c r="AO71" i="5"/>
  <c r="S44" i="18" s="1"/>
  <c r="AN71" i="5"/>
  <c r="S43" i="18" s="1"/>
  <c r="AM71" i="5"/>
  <c r="AD46" i="18" s="1"/>
  <c r="AL71" i="5"/>
  <c r="AD45" i="18" s="1"/>
  <c r="AK71" i="5"/>
  <c r="AD44" i="18" s="1"/>
  <c r="AJ71" i="5"/>
  <c r="AD43" i="18" s="1"/>
  <c r="AI71" i="5"/>
  <c r="AH71" i="5"/>
  <c r="AQ66" i="5"/>
  <c r="S46" i="17" s="1"/>
  <c r="AP66" i="5"/>
  <c r="S45" i="17" s="1"/>
  <c r="AO66" i="5"/>
  <c r="S44" i="17" s="1"/>
  <c r="AN66" i="5"/>
  <c r="S43" i="17" s="1"/>
  <c r="AM66" i="5"/>
  <c r="AD46" i="17" s="1"/>
  <c r="AL66" i="5"/>
  <c r="AD45" i="17" s="1"/>
  <c r="AK66" i="5"/>
  <c r="AD44" i="17" s="1"/>
  <c r="AJ66" i="5"/>
  <c r="AI66" i="5"/>
  <c r="AH66" i="5"/>
  <c r="AQ61" i="5"/>
  <c r="U52" i="19" s="1"/>
  <c r="I53" i="19" s="1"/>
  <c r="J54" i="19" s="1"/>
  <c r="AP61" i="5"/>
  <c r="U51" i="19" s="1"/>
  <c r="AO61" i="5"/>
  <c r="U50" i="19" s="1"/>
  <c r="AN61" i="5"/>
  <c r="U49" i="19" s="1"/>
  <c r="AM61" i="5"/>
  <c r="AG52" i="19" s="1"/>
  <c r="AL61" i="5"/>
  <c r="AG51" i="19" s="1"/>
  <c r="AK61" i="5"/>
  <c r="AG50" i="19" s="1"/>
  <c r="AJ61" i="5"/>
  <c r="AI61" i="5"/>
  <c r="AH61" i="5"/>
  <c r="AQ56" i="5"/>
  <c r="L22" i="64" s="1"/>
  <c r="F23" i="64" s="1"/>
  <c r="AP56" i="5"/>
  <c r="L21" i="64" s="1"/>
  <c r="AO56" i="5"/>
  <c r="L20" i="64" s="1"/>
  <c r="AN56" i="5"/>
  <c r="L19" i="64" s="1"/>
  <c r="AM56" i="5"/>
  <c r="O22" i="64" s="1"/>
  <c r="AL56" i="5"/>
  <c r="O21" i="64" s="1"/>
  <c r="AK56" i="5"/>
  <c r="O20" i="64" s="1"/>
  <c r="AJ56" i="5"/>
  <c r="AI56" i="5"/>
  <c r="AH56" i="5"/>
  <c r="AQ46" i="5"/>
  <c r="S152" i="12" s="1"/>
  <c r="I153" i="12" s="1"/>
  <c r="AP46" i="5"/>
  <c r="S151" i="12" s="1"/>
  <c r="AO46" i="5"/>
  <c r="S150" i="12" s="1"/>
  <c r="AN46" i="5"/>
  <c r="S149" i="12" s="1"/>
  <c r="AM46" i="5"/>
  <c r="AD152" i="12" s="1"/>
  <c r="AL46" i="5"/>
  <c r="AD151" i="12" s="1"/>
  <c r="AK46" i="5"/>
  <c r="AD150" i="12" s="1"/>
  <c r="AJ46" i="5"/>
  <c r="AD149" i="12" s="1"/>
  <c r="AH46" i="5"/>
  <c r="AQ42" i="5"/>
  <c r="S130" i="12" s="1"/>
  <c r="I131" i="12" s="1"/>
  <c r="AP42" i="5"/>
  <c r="S129" i="12" s="1"/>
  <c r="AO42" i="5"/>
  <c r="S128" i="12" s="1"/>
  <c r="AN42" i="5"/>
  <c r="S127" i="12" s="1"/>
  <c r="AM42" i="5"/>
  <c r="AD130" i="12" s="1"/>
  <c r="AL42" i="5"/>
  <c r="AD129" i="12" s="1"/>
  <c r="AK42" i="5"/>
  <c r="AD128" i="12" s="1"/>
  <c r="AJ42" i="5"/>
  <c r="AD127" i="12" s="1"/>
  <c r="AI42" i="5"/>
  <c r="AH42" i="5"/>
  <c r="AQ38" i="5"/>
  <c r="S116" i="12" s="1"/>
  <c r="I117" i="12" s="1"/>
  <c r="AP38" i="5"/>
  <c r="S115" i="12" s="1"/>
  <c r="AO38" i="5"/>
  <c r="S114" i="12" s="1"/>
  <c r="AN38" i="5"/>
  <c r="S113" i="12" s="1"/>
  <c r="AM38" i="5"/>
  <c r="AD116" i="12" s="1"/>
  <c r="AL38" i="5"/>
  <c r="AD115" i="12" s="1"/>
  <c r="AK38" i="5"/>
  <c r="AD114" i="12" s="1"/>
  <c r="AJ38" i="5"/>
  <c r="AD113" i="12" s="1"/>
  <c r="AH38" i="5"/>
  <c r="AQ34" i="5"/>
  <c r="S102" i="12" s="1"/>
  <c r="I103" i="12" s="1"/>
  <c r="AP34" i="5"/>
  <c r="S101" i="12" s="1"/>
  <c r="AO34" i="5"/>
  <c r="S100" i="12" s="1"/>
  <c r="AN34" i="5"/>
  <c r="S99" i="12" s="1"/>
  <c r="AM34" i="5"/>
  <c r="AD102" i="12" s="1"/>
  <c r="AL34" i="5"/>
  <c r="AD101" i="12" s="1"/>
  <c r="AK34" i="5"/>
  <c r="AD100" i="12" s="1"/>
  <c r="AJ34" i="5"/>
  <c r="AI34" i="5"/>
  <c r="AH34" i="5"/>
  <c r="AQ30" i="5"/>
  <c r="S88" i="12" s="1"/>
  <c r="I89" i="12" s="1"/>
  <c r="AP30" i="5"/>
  <c r="S87" i="12" s="1"/>
  <c r="AO30" i="5"/>
  <c r="S86" i="12" s="1"/>
  <c r="AN30" i="5"/>
  <c r="S85" i="12" s="1"/>
  <c r="AM30" i="5"/>
  <c r="AD88" i="12" s="1"/>
  <c r="AL30" i="5"/>
  <c r="AD87" i="12" s="1"/>
  <c r="AK30" i="5"/>
  <c r="AD86" i="12" s="1"/>
  <c r="AJ30" i="5"/>
  <c r="AH30" i="5"/>
  <c r="AQ26" i="5"/>
  <c r="S74" i="12" s="1"/>
  <c r="I75" i="12" s="1"/>
  <c r="AP26" i="5"/>
  <c r="S73" i="12" s="1"/>
  <c r="AO26" i="5"/>
  <c r="S72" i="12" s="1"/>
  <c r="AN26" i="5"/>
  <c r="S71" i="12" s="1"/>
  <c r="AM26" i="5"/>
  <c r="AD74" i="12" s="1"/>
  <c r="AL26" i="5"/>
  <c r="AD73" i="12" s="1"/>
  <c r="AK26" i="5"/>
  <c r="AD72" i="12" s="1"/>
  <c r="AJ26" i="5"/>
  <c r="AD71" i="12" s="1"/>
  <c r="AI26" i="5"/>
  <c r="AH26" i="5"/>
  <c r="AQ22" i="5"/>
  <c r="S60" i="12" s="1"/>
  <c r="I61" i="12" s="1"/>
  <c r="AP22" i="5"/>
  <c r="S59" i="12" s="1"/>
  <c r="AO22" i="5"/>
  <c r="S58" i="12" s="1"/>
  <c r="AN22" i="5"/>
  <c r="S57" i="12" s="1"/>
  <c r="AM22" i="5"/>
  <c r="AD60" i="12" s="1"/>
  <c r="AL22" i="5"/>
  <c r="AD59" i="12" s="1"/>
  <c r="AK22" i="5"/>
  <c r="AD58" i="12" s="1"/>
  <c r="AJ22" i="5"/>
  <c r="AD57" i="12" s="1"/>
  <c r="AH22" i="5"/>
  <c r="AQ18" i="5"/>
  <c r="S46" i="12" s="1"/>
  <c r="I47" i="12" s="1"/>
  <c r="AP18" i="5"/>
  <c r="S45" i="12" s="1"/>
  <c r="AO18" i="5"/>
  <c r="S44" i="12" s="1"/>
  <c r="AN18" i="5"/>
  <c r="S43" i="12" s="1"/>
  <c r="AM18" i="5"/>
  <c r="AD46" i="12" s="1"/>
  <c r="AL18" i="5"/>
  <c r="AD45" i="12" s="1"/>
  <c r="AK18" i="5"/>
  <c r="AD44" i="12" s="1"/>
  <c r="AJ18" i="5"/>
  <c r="AD43" i="12" s="1"/>
  <c r="AI18" i="5"/>
  <c r="AH18" i="5"/>
  <c r="G18" i="5"/>
  <c r="AI46" i="5" s="1"/>
  <c r="AQ13" i="5"/>
  <c r="S46" i="11" s="1"/>
  <c r="I47" i="11" s="1"/>
  <c r="AP13" i="5"/>
  <c r="S45" i="11" s="1"/>
  <c r="AO13" i="5"/>
  <c r="S44" i="11" s="1"/>
  <c r="AN13" i="5"/>
  <c r="S43" i="11" s="1"/>
  <c r="AM13" i="5"/>
  <c r="AD46" i="11" s="1"/>
  <c r="AL13" i="5"/>
  <c r="AD45" i="11" s="1"/>
  <c r="AK13" i="5"/>
  <c r="AD44" i="11" s="1"/>
  <c r="AJ13" i="5"/>
  <c r="AI13" i="5"/>
  <c r="AH13" i="5"/>
  <c r="D6" i="5"/>
  <c r="D5" i="5"/>
  <c r="R13" i="4"/>
  <c r="Q13" i="4"/>
  <c r="P13" i="4"/>
  <c r="I13" i="4"/>
  <c r="E7" i="4"/>
  <c r="D5" i="4"/>
  <c r="O13" i="3"/>
  <c r="M13" i="3" a="1"/>
  <c r="M13" i="3"/>
  <c r="E13" i="3"/>
  <c r="E12" i="3"/>
  <c r="G12" i="3" s="1"/>
  <c r="E4" i="3"/>
  <c r="E59" i="2"/>
  <c r="E49" i="2"/>
  <c r="E41" i="2"/>
  <c r="E31" i="2"/>
  <c r="E27" i="2"/>
  <c r="E26" i="2"/>
  <c r="F25" i="2"/>
  <c r="E22" i="2"/>
  <c r="E21" i="2"/>
  <c r="F20" i="2"/>
  <c r="E19" i="2"/>
  <c r="I9" i="2"/>
  <c r="E3" i="2"/>
  <c r="E2" i="2"/>
  <c r="Y25" i="64"/>
  <c r="M10" i="54"/>
  <c r="M10" i="55"/>
  <c r="AT47" i="31"/>
  <c r="M2" i="55"/>
  <c r="M2" i="54"/>
  <c r="AT7" i="30"/>
  <c r="AL46" i="28"/>
  <c r="AL7" i="27"/>
  <c r="AL8" i="25"/>
  <c r="AL7" i="24"/>
  <c r="AL46" i="21"/>
  <c r="AR8" i="19"/>
  <c r="AT7" i="31"/>
  <c r="AL46" i="27"/>
  <c r="AL46" i="24"/>
  <c r="AL7" i="23"/>
  <c r="AT47" i="30"/>
  <c r="AL46" i="23"/>
  <c r="AL7" i="22"/>
  <c r="AL7" i="28"/>
  <c r="AL48" i="25"/>
  <c r="AL46" i="22"/>
  <c r="AL7" i="21"/>
  <c r="AV51" i="20"/>
  <c r="AN49" i="18"/>
  <c r="AN141" i="12"/>
  <c r="AN133" i="12"/>
  <c r="AN77" i="12"/>
  <c r="AN8" i="12"/>
  <c r="AN49" i="11"/>
  <c r="J13" i="3"/>
  <c r="AR55" i="19"/>
  <c r="AN49" i="17"/>
  <c r="AN49" i="16"/>
  <c r="AN49" i="15"/>
  <c r="AN8" i="14"/>
  <c r="AN49" i="13"/>
  <c r="AN91" i="12"/>
  <c r="AV8" i="20"/>
  <c r="AR56" i="19"/>
  <c r="AN8" i="18"/>
  <c r="AN8" i="17"/>
  <c r="AN8" i="16"/>
  <c r="AN105" i="12"/>
  <c r="AN49" i="12"/>
  <c r="AN8" i="11"/>
  <c r="AN8" i="15"/>
  <c r="AN49" i="14"/>
  <c r="AN8" i="13"/>
  <c r="AN155" i="12"/>
  <c r="AN137" i="12"/>
  <c r="AN119" i="12"/>
  <c r="AN63" i="12"/>
  <c r="G47" i="51" l="1"/>
  <c r="H49" i="51"/>
  <c r="J118" i="12"/>
  <c r="S117" i="12"/>
  <c r="S47" i="12"/>
  <c r="J48" i="12"/>
  <c r="J48" i="11"/>
  <c r="S47" i="11"/>
  <c r="J62" i="12"/>
  <c r="S61" i="12"/>
  <c r="J141" i="12"/>
  <c r="J139" i="12"/>
  <c r="J138" i="12"/>
  <c r="J132" i="12"/>
  <c r="J143" i="12"/>
  <c r="J142" i="12"/>
  <c r="J136" i="12"/>
  <c r="J140" i="12"/>
  <c r="J137" i="12"/>
  <c r="S131" i="12"/>
  <c r="J7" i="12"/>
  <c r="S6" i="12"/>
  <c r="J7" i="15"/>
  <c r="S6" i="15"/>
  <c r="J76" i="12"/>
  <c r="S75" i="12"/>
  <c r="S103" i="12"/>
  <c r="J104" i="12"/>
  <c r="J154" i="12"/>
  <c r="S153" i="12"/>
  <c r="U54" i="19"/>
  <c r="K55" i="19"/>
  <c r="J48" i="18"/>
  <c r="I47" i="18"/>
  <c r="S47" i="13"/>
  <c r="J48" i="13"/>
  <c r="D41" i="7"/>
  <c r="D40" i="7"/>
  <c r="D43" i="7"/>
  <c r="D44" i="7" s="1"/>
  <c r="D45" i="7" s="1"/>
  <c r="K8" i="17"/>
  <c r="S8" i="17" s="1"/>
  <c r="S7" i="17"/>
  <c r="K8" i="18"/>
  <c r="S8" i="18" s="1"/>
  <c r="S7" i="18"/>
  <c r="U7" i="19"/>
  <c r="K8" i="19"/>
  <c r="S89" i="12"/>
  <c r="J90" i="12"/>
  <c r="I47" i="17"/>
  <c r="J48" i="17"/>
  <c r="S47" i="15"/>
  <c r="J48" i="15"/>
  <c r="J7" i="13"/>
  <c r="S6" i="13"/>
  <c r="F101" i="48"/>
  <c r="F326" i="48"/>
  <c r="F24" i="48"/>
  <c r="F251" i="48"/>
  <c r="F176" i="48"/>
  <c r="L23" i="64"/>
  <c r="G24" i="64"/>
  <c r="K48" i="25"/>
  <c r="S48" i="25" s="1"/>
  <c r="I46" i="25"/>
  <c r="J47" i="25"/>
  <c r="D36" i="7"/>
  <c r="S45" i="13"/>
  <c r="AD46" i="13"/>
  <c r="AD43" i="14"/>
  <c r="AD44" i="14"/>
  <c r="S46" i="16"/>
  <c r="J6" i="22"/>
  <c r="S5" i="22"/>
  <c r="S6" i="28"/>
  <c r="K7" i="28"/>
  <c r="S7" i="28" s="1"/>
  <c r="S6" i="30"/>
  <c r="K7" i="30"/>
  <c r="S7" i="30" s="1"/>
  <c r="J6" i="31"/>
  <c r="S5" i="31"/>
  <c r="I11" i="50"/>
  <c r="I9" i="39"/>
  <c r="I12" i="38"/>
  <c r="I12" i="37"/>
  <c r="H16" i="34"/>
  <c r="H11" i="45"/>
  <c r="I28" i="40"/>
  <c r="M12" i="35"/>
  <c r="I27" i="33"/>
  <c r="F274" i="48"/>
  <c r="F199" i="48"/>
  <c r="F124" i="48"/>
  <c r="F47" i="48"/>
  <c r="F349" i="48"/>
  <c r="F286" i="48"/>
  <c r="F211" i="48"/>
  <c r="F136" i="48"/>
  <c r="F59" i="48"/>
  <c r="F361" i="48"/>
  <c r="G364" i="48"/>
  <c r="G62" i="48"/>
  <c r="G289" i="48"/>
  <c r="G214" i="48"/>
  <c r="G139" i="48"/>
  <c r="AC42" i="25"/>
  <c r="G217" i="48"/>
  <c r="G142" i="48"/>
  <c r="G367" i="48"/>
  <c r="G65" i="48"/>
  <c r="G292" i="48"/>
  <c r="AC41" i="21"/>
  <c r="F145" i="48"/>
  <c r="F370" i="48"/>
  <c r="F68" i="48"/>
  <c r="F295" i="48"/>
  <c r="F220" i="48"/>
  <c r="J45" i="22"/>
  <c r="S44" i="22"/>
  <c r="G223" i="48"/>
  <c r="G148" i="48"/>
  <c r="G373" i="48"/>
  <c r="G71" i="48"/>
  <c r="G298" i="48"/>
  <c r="AC41" i="23"/>
  <c r="F151" i="48"/>
  <c r="F376" i="48"/>
  <c r="F74" i="48"/>
  <c r="F301" i="48"/>
  <c r="F226" i="48"/>
  <c r="S44" i="24"/>
  <c r="J45" i="24"/>
  <c r="G229" i="48"/>
  <c r="G154" i="48"/>
  <c r="G379" i="48"/>
  <c r="G77" i="48"/>
  <c r="G304" i="48"/>
  <c r="AD46" i="26"/>
  <c r="F157" i="48"/>
  <c r="F382" i="48"/>
  <c r="F80" i="48"/>
  <c r="F307" i="48"/>
  <c r="F232" i="48"/>
  <c r="J46" i="30"/>
  <c r="S45" i="30"/>
  <c r="G235" i="48"/>
  <c r="G160" i="48"/>
  <c r="G385" i="48"/>
  <c r="G83" i="48"/>
  <c r="G310" i="48"/>
  <c r="AG42" i="31"/>
  <c r="F163" i="48"/>
  <c r="F388" i="48"/>
  <c r="F86" i="48"/>
  <c r="F313" i="48"/>
  <c r="F238" i="48"/>
  <c r="G241" i="48"/>
  <c r="G166" i="48"/>
  <c r="G391" i="48"/>
  <c r="G89" i="48"/>
  <c r="G316" i="48"/>
  <c r="AC41" i="27"/>
  <c r="F169" i="48"/>
  <c r="F394" i="48"/>
  <c r="F92" i="48"/>
  <c r="F319" i="48"/>
  <c r="F244" i="48"/>
  <c r="S44" i="28"/>
  <c r="J45" i="28"/>
  <c r="G247" i="48"/>
  <c r="G172" i="48"/>
  <c r="G397" i="48"/>
  <c r="G95" i="48"/>
  <c r="AD46" i="29"/>
  <c r="G322" i="48"/>
  <c r="D35" i="7"/>
  <c r="S7" i="11"/>
  <c r="S43" i="13"/>
  <c r="S44" i="13"/>
  <c r="AD45" i="13"/>
  <c r="S46" i="14"/>
  <c r="I47" i="14" s="1"/>
  <c r="S45" i="16"/>
  <c r="AD46" i="16"/>
  <c r="J6" i="21"/>
  <c r="S5" i="21"/>
  <c r="S5" i="27"/>
  <c r="J6" i="27"/>
  <c r="G112" i="48"/>
  <c r="G337" i="48"/>
  <c r="G35" i="48"/>
  <c r="G262" i="48"/>
  <c r="G187" i="48"/>
  <c r="G352" i="48"/>
  <c r="G50" i="48"/>
  <c r="G277" i="48"/>
  <c r="G202" i="48"/>
  <c r="G127" i="48"/>
  <c r="F280" i="48"/>
  <c r="F205" i="48"/>
  <c r="F130" i="48"/>
  <c r="F355" i="48"/>
  <c r="F53" i="48"/>
  <c r="G358" i="48"/>
  <c r="G56" i="48"/>
  <c r="G283" i="48"/>
  <c r="G208" i="48"/>
  <c r="G133" i="48"/>
  <c r="G326" i="48"/>
  <c r="G24" i="48"/>
  <c r="G251" i="48"/>
  <c r="G5" i="48"/>
  <c r="G176" i="48"/>
  <c r="G2" i="48"/>
  <c r="G101" i="48"/>
  <c r="AI22" i="5"/>
  <c r="AI30" i="5"/>
  <c r="AI38" i="5"/>
  <c r="K51" i="20"/>
  <c r="S51" i="20" s="1"/>
  <c r="I49" i="20"/>
  <c r="J50" i="20"/>
  <c r="D34" i="7"/>
  <c r="AD99" i="12"/>
  <c r="AD43" i="15"/>
  <c r="S43" i="16"/>
  <c r="S44" i="16"/>
  <c r="AD45" i="16"/>
  <c r="H10" i="45"/>
  <c r="I10" i="50"/>
  <c r="I27" i="40"/>
  <c r="M11" i="35"/>
  <c r="I26" i="33"/>
  <c r="I8" i="39"/>
  <c r="H15" i="34"/>
  <c r="I11" i="38"/>
  <c r="I11" i="37"/>
  <c r="G104" i="48"/>
  <c r="G329" i="48"/>
  <c r="G27" i="48"/>
  <c r="G254" i="48"/>
  <c r="G179" i="48"/>
  <c r="G258" i="48"/>
  <c r="G183" i="48"/>
  <c r="G108" i="48"/>
  <c r="G31" i="48"/>
  <c r="G333" i="48"/>
  <c r="G266" i="48"/>
  <c r="G191" i="48"/>
  <c r="G116" i="48"/>
  <c r="G39" i="48"/>
  <c r="G341" i="48"/>
  <c r="O19" i="64"/>
  <c r="G346" i="48"/>
  <c r="G44" i="48"/>
  <c r="G271" i="48"/>
  <c r="G196" i="48"/>
  <c r="G121" i="48"/>
  <c r="I9" i="50"/>
  <c r="I7" i="39"/>
  <c r="I10" i="38"/>
  <c r="I10" i="37"/>
  <c r="H9" i="45"/>
  <c r="I26" i="40"/>
  <c r="M10" i="35"/>
  <c r="H14" i="34"/>
  <c r="I25" i="33"/>
  <c r="F179" i="48"/>
  <c r="F104" i="48"/>
  <c r="F329" i="48"/>
  <c r="F27" i="48"/>
  <c r="F254" i="48"/>
  <c r="G331" i="48"/>
  <c r="G29" i="48"/>
  <c r="G256" i="48"/>
  <c r="G181" i="48"/>
  <c r="G106" i="48"/>
  <c r="G185" i="48"/>
  <c r="G110" i="48"/>
  <c r="G335" i="48"/>
  <c r="G33" i="48"/>
  <c r="G260" i="48"/>
  <c r="G339" i="48"/>
  <c r="G37" i="48"/>
  <c r="G264" i="48"/>
  <c r="G189" i="48"/>
  <c r="G114" i="48"/>
  <c r="G193" i="48"/>
  <c r="G118" i="48"/>
  <c r="G343" i="48"/>
  <c r="G41" i="48"/>
  <c r="G268" i="48"/>
  <c r="F121" i="48"/>
  <c r="F346" i="48"/>
  <c r="F44" i="48"/>
  <c r="F271" i="48"/>
  <c r="F196" i="48"/>
  <c r="G199" i="48"/>
  <c r="G124" i="48"/>
  <c r="G349" i="48"/>
  <c r="G47" i="48"/>
  <c r="G274" i="48"/>
  <c r="AG49" i="19"/>
  <c r="F127" i="48"/>
  <c r="F352" i="48"/>
  <c r="F50" i="48"/>
  <c r="F277" i="48"/>
  <c r="F202" i="48"/>
  <c r="G205" i="48"/>
  <c r="G130" i="48"/>
  <c r="G355" i="48"/>
  <c r="G53" i="48"/>
  <c r="G280" i="48"/>
  <c r="F133" i="48"/>
  <c r="F358" i="48"/>
  <c r="F56" i="48"/>
  <c r="F283" i="48"/>
  <c r="F208" i="48"/>
  <c r="G211" i="48"/>
  <c r="G136" i="48"/>
  <c r="G361" i="48"/>
  <c r="G59" i="48"/>
  <c r="G286" i="48"/>
  <c r="AB45" i="20"/>
  <c r="F139" i="48"/>
  <c r="F364" i="48"/>
  <c r="F62" i="48"/>
  <c r="F289" i="48"/>
  <c r="F214" i="48"/>
  <c r="F292" i="48"/>
  <c r="F217" i="48"/>
  <c r="F142" i="48"/>
  <c r="F65" i="48"/>
  <c r="F367" i="48"/>
  <c r="S44" i="21"/>
  <c r="J45" i="21"/>
  <c r="G370" i="48"/>
  <c r="G68" i="48"/>
  <c r="G295" i="48"/>
  <c r="G220" i="48"/>
  <c r="G145" i="48"/>
  <c r="AC41" i="22"/>
  <c r="F298" i="48"/>
  <c r="F223" i="48"/>
  <c r="F148" i="48"/>
  <c r="F71" i="48"/>
  <c r="F373" i="48"/>
  <c r="J45" i="23"/>
  <c r="S44" i="23"/>
  <c r="G376" i="48"/>
  <c r="G74" i="48"/>
  <c r="G301" i="48"/>
  <c r="G226" i="48"/>
  <c r="G151" i="48"/>
  <c r="AC41" i="24"/>
  <c r="F304" i="48"/>
  <c r="F229" i="48"/>
  <c r="F154" i="48"/>
  <c r="F379" i="48"/>
  <c r="F77" i="48"/>
  <c r="G382" i="48"/>
  <c r="G80" i="48"/>
  <c r="G307" i="48"/>
  <c r="G232" i="48"/>
  <c r="G157" i="48"/>
  <c r="AG42" i="30"/>
  <c r="F310" i="48"/>
  <c r="F235" i="48"/>
  <c r="F160" i="48"/>
  <c r="F83" i="48"/>
  <c r="F385" i="48"/>
  <c r="S45" i="31"/>
  <c r="J46" i="31"/>
  <c r="G388" i="48"/>
  <c r="G86" i="48"/>
  <c r="G313" i="48"/>
  <c r="G238" i="48"/>
  <c r="G163" i="48"/>
  <c r="AD46" i="32"/>
  <c r="F316" i="48"/>
  <c r="F241" i="48"/>
  <c r="F166" i="48"/>
  <c r="F89" i="48"/>
  <c r="F391" i="48"/>
  <c r="S44" i="27"/>
  <c r="J45" i="27"/>
  <c r="G394" i="48"/>
  <c r="G92" i="48"/>
  <c r="G319" i="48"/>
  <c r="G244" i="48"/>
  <c r="G169" i="48"/>
  <c r="AC41" i="28"/>
  <c r="F322" i="48"/>
  <c r="F247" i="48"/>
  <c r="F172" i="48"/>
  <c r="F95" i="48"/>
  <c r="F397" i="48"/>
  <c r="AD43" i="11"/>
  <c r="AD85" i="12"/>
  <c r="AD43" i="16"/>
  <c r="AD44" i="16"/>
  <c r="AD43" i="17"/>
  <c r="J6" i="23"/>
  <c r="K7" i="24"/>
  <c r="S7" i="24" s="1"/>
  <c r="S5" i="28"/>
  <c r="S5" i="30"/>
  <c r="I6" i="20"/>
  <c r="I31" i="33"/>
  <c r="I136" i="33" s="1"/>
  <c r="H31" i="33"/>
  <c r="H136" i="33" s="1"/>
  <c r="D50" i="61"/>
  <c r="D49" i="61"/>
  <c r="D48" i="61"/>
  <c r="I36" i="43"/>
  <c r="H36" i="43" s="1"/>
  <c r="F29" i="51"/>
  <c r="F32" i="51"/>
  <c r="L10" i="54"/>
  <c r="R10" i="54" s="1"/>
  <c r="D51" i="61"/>
  <c r="I38" i="43"/>
  <c r="I48" i="43"/>
  <c r="H48" i="43" s="1"/>
  <c r="G46" i="51"/>
  <c r="G48" i="51"/>
  <c r="H50" i="51"/>
  <c r="G53" i="51"/>
  <c r="G50" i="51"/>
  <c r="G49" i="51"/>
  <c r="H48" i="51"/>
  <c r="H47" i="51"/>
  <c r="H46" i="51"/>
  <c r="E4" i="62"/>
  <c r="AA11" i="63"/>
  <c r="U148" i="63"/>
  <c r="AA15" i="63"/>
  <c r="J49" i="51"/>
  <c r="J50" i="51"/>
  <c r="J51" i="51"/>
  <c r="J45" i="51" s="1"/>
  <c r="E5" i="2" s="1"/>
  <c r="J52" i="51"/>
  <c r="E6" i="62"/>
  <c r="E29" i="62"/>
  <c r="U14" i="63"/>
  <c r="J46" i="51"/>
  <c r="J47" i="51"/>
  <c r="F2" i="54"/>
  <c r="E3" i="62"/>
  <c r="E5" i="62"/>
  <c r="AA13" i="63"/>
  <c r="AA16" i="63"/>
  <c r="K46" i="23" l="1"/>
  <c r="S46" i="23" s="1"/>
  <c r="S45" i="23"/>
  <c r="S45" i="21"/>
  <c r="K46" i="21"/>
  <c r="S46" i="21" s="1"/>
  <c r="S45" i="22"/>
  <c r="K46" i="22"/>
  <c r="S46" i="22" s="1"/>
  <c r="K7" i="22"/>
  <c r="S7" i="22" s="1"/>
  <c r="S6" i="22"/>
  <c r="S140" i="12"/>
  <c r="K141" i="12"/>
  <c r="S141" i="12" s="1"/>
  <c r="S132" i="12"/>
  <c r="K133" i="12"/>
  <c r="S133" i="12" s="1"/>
  <c r="K49" i="12"/>
  <c r="S49" i="12" s="1"/>
  <c r="S48" i="12"/>
  <c r="H38" i="43"/>
  <c r="I58" i="43"/>
  <c r="H58" i="43" s="1"/>
  <c r="D4" i="4"/>
  <c r="B5" i="1"/>
  <c r="K7" i="23"/>
  <c r="S7" i="23" s="1"/>
  <c r="S6" i="23"/>
  <c r="J48" i="14"/>
  <c r="S47" i="14"/>
  <c r="S45" i="28"/>
  <c r="K46" i="28"/>
  <c r="S46" i="28" s="1"/>
  <c r="I47" i="16"/>
  <c r="J48" i="16"/>
  <c r="S48" i="17"/>
  <c r="K49" i="17"/>
  <c r="S49" i="17" s="1"/>
  <c r="L9" i="19"/>
  <c r="U9" i="19" s="1"/>
  <c r="U8" i="19"/>
  <c r="K49" i="18"/>
  <c r="S49" i="18" s="1"/>
  <c r="S48" i="18"/>
  <c r="K155" i="12"/>
  <c r="S155" i="12" s="1"/>
  <c r="S154" i="12"/>
  <c r="S76" i="12"/>
  <c r="K77" i="12"/>
  <c r="S77" i="12" s="1"/>
  <c r="S7" i="12"/>
  <c r="K8" i="12"/>
  <c r="S8" i="12" s="1"/>
  <c r="S136" i="12"/>
  <c r="K137" i="12"/>
  <c r="S137" i="12" s="1"/>
  <c r="K63" i="12"/>
  <c r="S63" i="12" s="1"/>
  <c r="S62" i="12"/>
  <c r="K46" i="27"/>
  <c r="S46" i="27" s="1"/>
  <c r="S45" i="27"/>
  <c r="S6" i="21"/>
  <c r="K7" i="21"/>
  <c r="S7" i="21" s="1"/>
  <c r="K47" i="30"/>
  <c r="S47" i="30" s="1"/>
  <c r="S46" i="30"/>
  <c r="K46" i="24"/>
  <c r="S46" i="24" s="1"/>
  <c r="S45" i="24"/>
  <c r="K7" i="31"/>
  <c r="S7" i="31" s="1"/>
  <c r="S6" i="31"/>
  <c r="L24" i="64"/>
  <c r="H25" i="64"/>
  <c r="L25" i="64" s="1"/>
  <c r="K8" i="13"/>
  <c r="S8" i="13" s="1"/>
  <c r="S7" i="13"/>
  <c r="S48" i="13"/>
  <c r="K49" i="13"/>
  <c r="S49" i="13" s="1"/>
  <c r="L56" i="19"/>
  <c r="U56" i="19" s="1"/>
  <c r="U55" i="19"/>
  <c r="K105" i="12"/>
  <c r="S105" i="12" s="1"/>
  <c r="S104" i="12"/>
  <c r="K47" i="31"/>
  <c r="S47" i="31" s="1"/>
  <c r="S46" i="31"/>
  <c r="S6" i="27"/>
  <c r="K7" i="27"/>
  <c r="S7" i="27" s="1"/>
  <c r="S48" i="15"/>
  <c r="K49" i="15"/>
  <c r="S49" i="15" s="1"/>
  <c r="S90" i="12"/>
  <c r="K91" i="12"/>
  <c r="S91" i="12" s="1"/>
  <c r="D49" i="7"/>
  <c r="D46" i="7"/>
  <c r="D48" i="7"/>
  <c r="D47" i="7"/>
  <c r="D51" i="7"/>
  <c r="K8" i="15"/>
  <c r="S8" i="15" s="1"/>
  <c r="S7" i="15"/>
  <c r="S48" i="11"/>
  <c r="K49" i="11"/>
  <c r="S49" i="11" s="1"/>
  <c r="K119" i="12"/>
  <c r="S119" i="12" s="1"/>
  <c r="S118" i="12"/>
  <c r="K49" i="14" l="1"/>
  <c r="S49" i="14" s="1"/>
  <c r="S48" i="14"/>
  <c r="S48" i="16"/>
  <c r="K49" i="16"/>
  <c r="S49" i="16" s="1"/>
</calcChain>
</file>

<file path=xl/comments1.xml><?xml version="1.0" encoding="utf-8"?>
<comments xmlns="http://schemas.openxmlformats.org/spreadsheetml/2006/main">
  <authors>
    <author>Author</author>
  </authors>
  <commentList>
    <comment ref="E37" authorId="0" shapeId="0">
      <text>
        <r>
          <rPr>
            <sz val="9"/>
            <color indexed="81"/>
            <rFont val="Arial"/>
            <family val="2"/>
          </rPr>
          <t>ОСН - Общая система налогообложения
УСН - Упрощённая система налогообложения
ЕСХН - Единый сельскохозяйственный налог
ПСН - Патентная система налогообложения
НПД - Налог на профессиональный доход</t>
        </r>
      </text>
    </comment>
  </commentList>
</comments>
</file>

<file path=xl/comments2.xml><?xml version="1.0" encoding="utf-8"?>
<comments xmlns="http://schemas.openxmlformats.org/spreadsheetml/2006/main">
  <authors>
    <author>Author</author>
  </authors>
  <commentList>
    <comment ref="AZ1" authorId="0" shapeId="0">
      <text>
        <r>
          <rPr>
            <sz val="9"/>
            <color indexed="81"/>
            <rFont val="Tahoma"/>
            <family val="2"/>
          </rPr>
          <t>Тип организации</t>
        </r>
      </text>
    </comment>
    <comment ref="L6" authorId="0" shapeId="0">
      <text>
        <r>
          <rPr>
            <sz val="9"/>
            <color indexed="81"/>
            <rFont val="Tahoma"/>
            <family val="2"/>
          </rPr>
          <t>тут будет больше 0, если выбран хотя бы один метод, отличный от экономически обоснованных</t>
        </r>
      </text>
    </comment>
  </commentList>
</comments>
</file>

<file path=xl/comments3.xml><?xml version="1.0" encoding="utf-8"?>
<comments xmlns="http://schemas.openxmlformats.org/spreadsheetml/2006/main">
  <authors>
    <author>Author</author>
  </authors>
  <commentList>
    <comment ref="P2" authorId="0" shapeId="0">
      <text>
        <r>
          <rPr>
            <sz val="9"/>
            <color indexed="81"/>
            <rFont val="Arial"/>
            <family val="2"/>
          </rPr>
          <t>сюда же для некоторых формул может входить:
- VOTV
- HOTVSNA</t>
        </r>
      </text>
    </comment>
    <comment ref="U2" authorId="0" shapeId="0">
      <text>
        <r>
          <rPr>
            <sz val="9"/>
            <color indexed="81"/>
            <rFont val="Arial"/>
            <family val="2"/>
          </rPr>
          <t>сюда же для некоторых формул может входить:
- VOTV
- HOTVSNA</t>
        </r>
      </text>
    </comment>
  </commentList>
</comments>
</file>

<file path=xl/sharedStrings.xml><?xml version="1.0" encoding="utf-8"?>
<sst xmlns="http://schemas.openxmlformats.org/spreadsheetml/2006/main" count="16575" uniqueCount="3885">
  <si>
    <t xml:space="preserve"> (требуется обновление)</t>
  </si>
  <si>
    <t>Код отчёта: PP110.OPEN.INFO.REQUEST.HEAT.EIAS</t>
  </si>
  <si>
    <t>Версия отчёта: 1.1.1</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</si>
  <si>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</si>
  <si>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</si>
  <si>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</si>
  <si>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</si>
  <si>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</si>
  <si>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</si>
  <si>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</si>
  <si>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</si>
  <si>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</si>
  <si>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</si>
  <si>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28856997</t>
  </si>
  <si>
    <t>Flag_Row_Size</t>
  </si>
  <si>
    <t>Субъект РФ</t>
  </si>
  <si>
    <t>Тюменская область</t>
  </si>
  <si>
    <t>Состав раскрываемой информации</t>
  </si>
  <si>
    <t>Привлечение к ответственности за указанный период отсутствует</t>
  </si>
  <si>
    <t>нет</t>
  </si>
  <si>
    <t>PRICE, REQUEST</t>
  </si>
  <si>
    <t>Начало_x000D_
периода регулирования</t>
  </si>
  <si>
    <t>01.01.2025</t>
  </si>
  <si>
    <t>Как заполнить?</t>
  </si>
  <si>
    <t>Начало периода регулирования</t>
  </si>
  <si>
    <t>Окончание_x000D_
периода регулирования</t>
  </si>
  <si>
    <t>31.12.2025</t>
  </si>
  <si>
    <t>Окончание периода регулирования</t>
  </si>
  <si>
    <t>ORG</t>
  </si>
  <si>
    <t>Дата_x000D_
предоставления информации</t>
  </si>
  <si>
    <t/>
  </si>
  <si>
    <t>Дата предоставления информации</t>
  </si>
  <si>
    <t>BALANCE, QUARTER, TERMS</t>
  </si>
  <si>
    <t>Год</t>
  </si>
  <si>
    <t>Отчётный период (год)</t>
  </si>
  <si>
    <t>QUARTER</t>
  </si>
  <si>
    <t>Квартал</t>
  </si>
  <si>
    <t>Отчётный период (квартал)</t>
  </si>
  <si>
    <t>Тип отчёта</t>
  </si>
  <si>
    <t>изменения в раскрытой ранее информации</t>
  </si>
  <si>
    <t>Дата внесения изменений в информацию, подлежащую раскрытию</t>
  </si>
  <si>
    <t>14.11.2024</t>
  </si>
  <si>
    <t>Отображается, если тип отчёта - изменение</t>
  </si>
  <si>
    <t>Данный блок предлагается заполнять из отчётной формы BALANCE.CALC.TARIFF.ххх.хххх</t>
  </si>
  <si>
    <t>27.04.2024</t>
  </si>
  <si>
    <t>337</t>
  </si>
  <si>
    <t>Наименование органа регулирования, принявшего решение об утверждении тарифов</t>
  </si>
  <si>
    <t>Источник официального опубликования решения</t>
  </si>
  <si>
    <t>Открывается, если Тип отчёта "изменения в раскрытой ранее информации"</t>
  </si>
  <si>
    <t>947 от 12.11.2024</t>
  </si>
  <si>
    <t>Наименование органа регулирования, принявшего решение об изменении тарифов</t>
  </si>
  <si>
    <t>ТМУП "ТТС"</t>
  </si>
  <si>
    <t>Наименование (описание) обособленного подразделения</t>
  </si>
  <si>
    <t>ИНН</t>
  </si>
  <si>
    <t>7203262893</t>
  </si>
  <si>
    <t>КПП</t>
  </si>
  <si>
    <t>720301001</t>
  </si>
  <si>
    <t>Тип теплоснабжающей организации</t>
  </si>
  <si>
    <t>Регулируемая организация</t>
  </si>
  <si>
    <t>Система налогообложения</t>
  </si>
  <si>
    <t>ОСН</t>
  </si>
  <si>
    <t>Отсутствует Интернет в границах территории МО, где организация осуществляет регулируемые виды деятельности</t>
  </si>
  <si>
    <t>Опубликовать индикативный предельный уровень цен на тепловую энергию (мощность)</t>
  </si>
  <si>
    <t>График поэтапного равномерного доведения предельного уровня цены на тепловую энергию (мощность)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</si>
  <si>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</si>
  <si>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</si>
  <si>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Организация осуществляет поставку товаров (оказание услуг) только по нерегулируемым ценам</t>
  </si>
  <si>
    <t>Регулируемая организация осуществляет сдачу годового бухгалтерского баланса в налоговые органы</t>
  </si>
  <si>
    <t>Дата направления годового бухгалтерского баланса в налоговые органы</t>
  </si>
  <si>
    <t>Превышает ли выручка от регулируемой деятельности 80% совокупной выручки за отчетный год</t>
  </si>
  <si>
    <t>Организация выполняет инвестиционную программу</t>
  </si>
  <si>
    <t>да</t>
  </si>
  <si>
    <t>Детализация инвестиционных программ осуществляется</t>
  </si>
  <si>
    <t>Оператор по обращению с твёрдыми коммунальными отходами, осуществляет деятельность по транспортированию твёрдых коммунальных отходов</t>
  </si>
  <si>
    <t>Почтовый адрес регулируемой организации</t>
  </si>
  <si>
    <t xml:space="preserve">625023, г. Тюмень, ул. Одесская, д. 8 </t>
  </si>
  <si>
    <t>Фамилия, имя, отчество руководителя</t>
  </si>
  <si>
    <t>Пантюшкин Павел Владимирович</t>
  </si>
  <si>
    <t>Ответственный за заполнение формы</t>
  </si>
  <si>
    <t>Фамилия, имя, отчество</t>
  </si>
  <si>
    <t>Ощепкова Наталья Анатольевна</t>
  </si>
  <si>
    <t>Должность</t>
  </si>
  <si>
    <t>начальник отдел ценообразования</t>
  </si>
  <si>
    <t>Контактный телефон</t>
  </si>
  <si>
    <t>(3452) 693-543, доб. 103</t>
  </si>
  <si>
    <t>E-mail</t>
  </si>
  <si>
    <t>Oshchepkova@tmup-tts.ru</t>
  </si>
  <si>
    <t>Flag_Col_Size</t>
  </si>
  <si>
    <t>МР</t>
  </si>
  <si>
    <t>МО</t>
  </si>
  <si>
    <t>ОКТМО</t>
  </si>
  <si>
    <t>Муниципальный район</t>
  </si>
  <si>
    <t>Муниципальное образование</t>
  </si>
  <si>
    <t>№ п/п</t>
  </si>
  <si>
    <t>Наименование</t>
  </si>
  <si>
    <t>3</t>
  </si>
  <si>
    <t>4</t>
  </si>
  <si>
    <t>6</t>
  </si>
  <si>
    <t>7</t>
  </si>
  <si>
    <t>размерженный МР</t>
  </si>
  <si>
    <t>флаг используемости территории на листе Перечень тарифов</t>
  </si>
  <si>
    <t>копия территорий</t>
  </si>
  <si>
    <t>МР (ОКТМО)</t>
  </si>
  <si>
    <t>ter_1</t>
  </si>
  <si>
    <t>299</t>
  </si>
  <si>
    <t>город Тюмень</t>
  </si>
  <si>
    <t>71701000</t>
  </si>
  <si>
    <t>Добавить МО</t>
  </si>
  <si>
    <t>Добавить территорию оказания услуг</t>
  </si>
  <si>
    <t>Добавить территорию действия тарифа</t>
  </si>
  <si>
    <t>Вид деятельности</t>
  </si>
  <si>
    <t>Дифференциация по территориям</t>
  </si>
  <si>
    <t>Дифференциация по централизованным системам</t>
  </si>
  <si>
    <t>да/нет</t>
  </si>
  <si>
    <t>1</t>
  </si>
  <si>
    <t>2</t>
  </si>
  <si>
    <t>5</t>
  </si>
  <si>
    <t>8</t>
  </si>
  <si>
    <t>ID_DIFF</t>
  </si>
  <si>
    <t>VD</t>
  </si>
  <si>
    <t>AREA</t>
  </si>
  <si>
    <t>SYSTEM</t>
  </si>
  <si>
    <t>diff_1</t>
  </si>
  <si>
    <t>a</t>
  </si>
  <si>
    <t>Добавить централизованную систему</t>
  </si>
  <si>
    <t>Добавить описание территории</t>
  </si>
  <si>
    <t>Добавить вид деятельности</t>
  </si>
  <si>
    <t>Вид тарифа</t>
  </si>
  <si>
    <t>Наименование тарифа</t>
  </si>
  <si>
    <t>Дифференциация по_x000D_
 МО (территориям)</t>
  </si>
  <si>
    <t>Дифференциация по _x000D_
централизованным системам</t>
  </si>
  <si>
    <t>Дифференциация по источникам тепловой энергии</t>
  </si>
  <si>
    <t>Примечание</t>
  </si>
  <si>
    <t>Установлен для организации</t>
  </si>
  <si>
    <t>Описание</t>
  </si>
  <si>
    <t>TER_ID</t>
  </si>
  <si>
    <t>VTAR_ID</t>
  </si>
  <si>
    <t>VD_ID</t>
  </si>
  <si>
    <t>ID_VTAR</t>
  </si>
  <si>
    <t>ID_NTAR</t>
  </si>
  <si>
    <t>ID_TER</t>
  </si>
  <si>
    <t>ID_CS</t>
  </si>
  <si>
    <t>ID_IST_TE</t>
  </si>
  <si>
    <t>ВидТарифа</t>
  </si>
  <si>
    <t>ВидДеятельности</t>
  </si>
  <si>
    <t>НаименованиеТарифа</t>
  </si>
  <si>
    <t>Территория</t>
  </si>
  <si>
    <t>ЦентрализованнаяСистема</t>
  </si>
  <si>
    <t>ИсточникТепловойЭнергии</t>
  </si>
  <si>
    <t>№ п.п НаименованиеТарифа</t>
  </si>
  <si>
    <t>№ п.п Территория</t>
  </si>
  <si>
    <t>№ п.п ЦентрализованнаяСистема</t>
  </si>
  <si>
    <t>№ п.п ИсточникТепловойЭнергии</t>
  </si>
  <si>
    <t>9</t>
  </si>
  <si>
    <t>10</t>
  </si>
  <si>
    <t>11</t>
  </si>
  <si>
    <t>12</t>
  </si>
  <si>
    <t>13</t>
  </si>
  <si>
    <t>14</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</si>
  <si>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t>
  </si>
  <si>
    <t>pIns_PT_VTAR_A</t>
  </si>
  <si>
    <t>pt_ntar_1</t>
  </si>
  <si>
    <t>pt_ter_1</t>
  </si>
  <si>
    <t>pt_cs_1</t>
  </si>
  <si>
    <t>pt_ist_te_1</t>
  </si>
  <si>
    <t>Тарифы на тепловую энергию (мощность), поставляемую теплоснабжающими организациями потребителям, другим теплоснабжающим организациям</t>
  </si>
  <si>
    <t>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t>
  </si>
  <si>
    <t>"4190064"</t>
  </si>
  <si>
    <t>pIns_PT_VTAR_B</t>
  </si>
  <si>
    <t>pt_ntar_2</t>
  </si>
  <si>
    <t>pt_ter_2</t>
  </si>
  <si>
    <t>pt_cs_2</t>
  </si>
  <si>
    <t>pt_ist_te_2</t>
  </si>
  <si>
    <t>Тарифы на тепловую энергию, поставляемую потребителям г. Тюмени от котельной, расположенной по адресу: г. Тюмень, ул. Дружбы, 132, строение 2 (Котельная № 5)</t>
  </si>
  <si>
    <t>Добавить источник для дифференциации</t>
  </si>
  <si>
    <t>Тарифы на тепловую энергию, поставляемую потребителям г. Тюмени от котельной, расположенной по адресу: г.Тюмень, ул. Электросетей, 1, строение 1 (Котельная № 6)</t>
  </si>
  <si>
    <t>Добавить централизованную систему для дифференциации</t>
  </si>
  <si>
    <t>Тарифы на тепловую энергию, поставляемую потребителям г. Тюмени от котельной, расположенной по адресу: г.Тюмень, ул. Луначарского, 18, строение 1 (Котельная № 7)</t>
  </si>
  <si>
    <t>Добавить территорию для дифференциации</t>
  </si>
  <si>
    <t>×</t>
  </si>
  <si>
    <t>pt_ntar_30</t>
  </si>
  <si>
    <t>pt_ter_30</t>
  </si>
  <si>
    <t>pt_cs_30</t>
  </si>
  <si>
    <t>pt_ist_te_30</t>
  </si>
  <si>
    <t>pt_ntar_301</t>
  </si>
  <si>
    <t>pt_ter_31</t>
  </si>
  <si>
    <t>pt_cs_31</t>
  </si>
  <si>
    <t>pt_ist_te_31</t>
  </si>
  <si>
    <t>pt_ntar_3011</t>
  </si>
  <si>
    <t>pt_ter_32</t>
  </si>
  <si>
    <t>pt_cs_32</t>
  </si>
  <si>
    <t>pt_ist_te_32</t>
  </si>
  <si>
    <t>Тарифы на тепловую энергию, поставляемую потребителям г. Тюмени от котельной, расположенной по адресу: г.Тюмень, ул. Февральский проезд, 2 (Котельная № 10)</t>
  </si>
  <si>
    <t>pt_ntar_30111</t>
  </si>
  <si>
    <t>pt_ter_33</t>
  </si>
  <si>
    <t>pt_cs_33</t>
  </si>
  <si>
    <t>pt_ist_te_33</t>
  </si>
  <si>
    <t>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t>
  </si>
  <si>
    <t>pt_ntar_301111</t>
  </si>
  <si>
    <t>pt_ter_34</t>
  </si>
  <si>
    <t>pt_cs_34</t>
  </si>
  <si>
    <t>pt_ist_te_34</t>
  </si>
  <si>
    <t>Тарифы на тепловую энергию, поставляемую потребителям г. Тюмени от котельной, расположенной по адресу: г.Тюмень, ул. Сказочная, 26, строение 2 (Котельная № 14)</t>
  </si>
  <si>
    <t>pt_ntar_3011111</t>
  </si>
  <si>
    <t>pt_ter_35</t>
  </si>
  <si>
    <t>pt_cs_35</t>
  </si>
  <si>
    <t>pt_ist_te_35</t>
  </si>
  <si>
    <t>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t>
  </si>
  <si>
    <t>pt_ntar_30111111</t>
  </si>
  <si>
    <t>pt_ter_36</t>
  </si>
  <si>
    <t>pt_cs_36</t>
  </si>
  <si>
    <t>pt_ist_te_36</t>
  </si>
  <si>
    <t>Добавить наименование тарифа</t>
  </si>
  <si>
    <t>Тарифы на теплоноситель, поставляемый теплоснабжающими организациями потребителям, другим теплоснабжающим организациям</t>
  </si>
  <si>
    <t>pIns_PT_VTAR_C</t>
  </si>
  <si>
    <t>pt_ntar_3</t>
  </si>
  <si>
    <t>pt_ter_3</t>
  </si>
  <si>
    <t>pt_cs_3</t>
  </si>
  <si>
    <t>pt_ist_te_3</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</si>
  <si>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</si>
  <si>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pIns_PT_VTAR_D</t>
  </si>
  <si>
    <t>pt_ntar_4</t>
  </si>
  <si>
    <t>pt_ter_4</t>
  </si>
  <si>
    <t>pt_cs_4</t>
  </si>
  <si>
    <t>pt_ist_te_4</t>
  </si>
  <si>
    <t>Тарифы на услуги по передаче тепловой энергии</t>
  </si>
  <si>
    <t>pIns_PT_VTAR_E1</t>
  </si>
  <si>
    <t>pt_ntar_5</t>
  </si>
  <si>
    <t>pt_ter_5</t>
  </si>
  <si>
    <t>pt_cs_5</t>
  </si>
  <si>
    <t>pt_ist_te_5</t>
  </si>
  <si>
    <t>Тарифы на услуги по передаче теплоносителя</t>
  </si>
  <si>
    <t>pIns_PT_VTAR_E2</t>
  </si>
  <si>
    <t>pt_ntar_6</t>
  </si>
  <si>
    <t>pt_ter_6</t>
  </si>
  <si>
    <t>pt_cs_6</t>
  </si>
  <si>
    <t>pt_ist_te_6</t>
  </si>
  <si>
    <t>Плата за услуги по поддержанию резервной тепловой мощности при отсутствии потребления тепловой энергии</t>
  </si>
  <si>
    <t>pIns_PT_VTAR_F</t>
  </si>
  <si>
    <t>pt_ntar_7</t>
  </si>
  <si>
    <t>pt_ter_7</t>
  </si>
  <si>
    <t>pt_cs_7</t>
  </si>
  <si>
    <t>pt_ist_te_7</t>
  </si>
  <si>
    <t>Плата за подключение (технологическое присоединение) к системе теплоснабжения</t>
  </si>
  <si>
    <t>pIns_PT_VTAR_G</t>
  </si>
  <si>
    <t>pt_ntar_8</t>
  </si>
  <si>
    <t>pt_ter_8</t>
  </si>
  <si>
    <t>pt_cs_8</t>
  </si>
  <si>
    <t>pt_ist_te_8</t>
  </si>
  <si>
    <t>Плата за подключение (технологическое присоединение) к системе теплоснабжения (индивидуальная)</t>
  </si>
  <si>
    <t>pIns_PT_VTAR_H</t>
  </si>
  <si>
    <t>pt_ntar_20</t>
  </si>
  <si>
    <t>pt_ter_20</t>
  </si>
  <si>
    <t>pt_cs_20</t>
  </si>
  <si>
    <t>pt_ist_te_20</t>
  </si>
  <si>
    <t>Предельный уровень цены на тепловую энергию (мощность), поставляемую теплоснабжающими организациями потребителям</t>
  </si>
  <si>
    <t>pIns_PT_VTAR_I</t>
  </si>
  <si>
    <t>pt_ntar_21</t>
  </si>
  <si>
    <t>pt_ter_21</t>
  </si>
  <si>
    <t>pt_cs_21</t>
  </si>
  <si>
    <t>pt_ist_te_21</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</si>
  <si>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</si>
  <si>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</si>
  <si>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</si>
  <si>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</si>
  <si>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</si>
  <si>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</si>
  <si>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</si>
  <si>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</si>
  <si>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Тариф на питьевую воду (питьевое водоснабжение)</t>
  </si>
  <si>
    <t>pIns_PT_VTAR_A_COLDVSNA</t>
  </si>
  <si>
    <t>pt_ntar_9</t>
  </si>
  <si>
    <t>pt_ter_9</t>
  </si>
  <si>
    <t>pt_cs_9</t>
  </si>
  <si>
    <t>Тариф на техническую воду</t>
  </si>
  <si>
    <t>pIns_PT_VTAR_B_COLDVSNA</t>
  </si>
  <si>
    <t>pt_ntar_10</t>
  </si>
  <si>
    <t>pt_ter_10</t>
  </si>
  <si>
    <t>pt_cs_10</t>
  </si>
  <si>
    <t>Тариф на транспортировку воды</t>
  </si>
  <si>
    <t>pIns_PT_VTAR_C_COLDVSNA</t>
  </si>
  <si>
    <t>pt_ntar_11</t>
  </si>
  <si>
    <t>pt_ter_11</t>
  </si>
  <si>
    <t>pt_cs_11</t>
  </si>
  <si>
    <t>Тариф на подвоз воды</t>
  </si>
  <si>
    <t>pIns_PT_VTAR_D_COLDVSNA</t>
  </si>
  <si>
    <t>pt_ntar_12</t>
  </si>
  <si>
    <t>pt_ter_12</t>
  </si>
  <si>
    <t>pt_cs_12</t>
  </si>
  <si>
    <t>Тариф на подключение (технологическое присоединение) к централизованной системе холодного водоснабжения</t>
  </si>
  <si>
    <t>pIns_PT_VTAR_E_COLDVSNA</t>
  </si>
  <si>
    <t>pt_ntar_13</t>
  </si>
  <si>
    <t>pt_ter_13</t>
  </si>
  <si>
    <t>pt_cs_13</t>
  </si>
  <si>
    <t>Тариф на горячую воду (горячее водоснабжение)</t>
  </si>
  <si>
    <t>pIns_PT_VTAR_A_HOTVSNA</t>
  </si>
  <si>
    <t>pt_ntar_14</t>
  </si>
  <si>
    <t>pt_ter_14</t>
  </si>
  <si>
    <t>pt_cs_14</t>
  </si>
  <si>
    <t>Тариф на транспортировку горячей воды</t>
  </si>
  <si>
    <t>pIns_PT_VTAR_B_HOTVSNA</t>
  </si>
  <si>
    <t>pt_ntar_15</t>
  </si>
  <si>
    <t>pt_ter_15</t>
  </si>
  <si>
    <t>pt_cs_15</t>
  </si>
  <si>
    <t>Тариф на подключение (технологическое присоединение) к централизованной системе горячего водоснабжения</t>
  </si>
  <si>
    <t>pIns_PT_VTAR_C_HOTVSNA</t>
  </si>
  <si>
    <t>pt_ntar_16</t>
  </si>
  <si>
    <t>pt_ter_16</t>
  </si>
  <si>
    <t>pt_cs_16</t>
  </si>
  <si>
    <t>Тариф на водоотведение</t>
  </si>
  <si>
    <t>pIns_PT_VTAR_A_VOTV</t>
  </si>
  <si>
    <t>pt_ntar_17</t>
  </si>
  <si>
    <t>pt_ter_17</t>
  </si>
  <si>
    <t>pt_cs_17</t>
  </si>
  <si>
    <t>Тариф на транспортировку сточных вод</t>
  </si>
  <si>
    <t>pIns_PT_VTAR_B_VOTV</t>
  </si>
  <si>
    <t>pt_ntar_18</t>
  </si>
  <si>
    <t>pt_ter_18</t>
  </si>
  <si>
    <t>pt_cs_18</t>
  </si>
  <si>
    <t>Тариф на подключение (технологическое присоединение) к централизованной системе водоотведения</t>
  </si>
  <si>
    <t>pIns_PT_VTAR_C_VOTV</t>
  </si>
  <si>
    <t>pt_ntar_19</t>
  </si>
  <si>
    <t>pt_ter_19</t>
  </si>
  <si>
    <t>pt_cs_19</t>
  </si>
  <si>
    <t>fdif</t>
  </si>
  <si>
    <t>fdif_e</t>
  </si>
  <si>
    <t>fdif_1</t>
  </si>
  <si>
    <t>Дифференциация тарифов в области обращения с твердыми коммунальными отходами</t>
  </si>
  <si>
    <t>Дифференциация по технологическим особенностям</t>
  </si>
  <si>
    <t>Дифференциация по территории оказания услуг</t>
  </si>
  <si>
    <t>Дифференциация по виду твердых коммунальных отходов</t>
  </si>
  <si>
    <t>Дифференциация по классу опасности твердых коммунальных отходов</t>
  </si>
  <si>
    <t>Комментарий</t>
  </si>
  <si>
    <t>Дифференциация, да/нет</t>
  </si>
  <si>
    <t>Значение</t>
  </si>
  <si>
    <t>Тарифы</t>
  </si>
  <si>
    <t>Прочие показатели</t>
  </si>
  <si>
    <t>AREA_ID</t>
  </si>
  <si>
    <t>Оказание услуги по обращению с твердыми коммунальными отходами региональным оператором</t>
  </si>
  <si>
    <t>Единый тариф на услугу регионального оператора по обращению с твердыми коммунальными отходами</t>
  </si>
  <si>
    <t>Тариф на обработку твердых коммунальных отходов</t>
  </si>
  <si>
    <t>Тариф на обезвреживание твердых коммунальных отходов</t>
  </si>
  <si>
    <t>Тариф на захоронение твердых коммунальных отходов</t>
  </si>
  <si>
    <t>Тариф на энергетическую утилизацию</t>
  </si>
  <si>
    <t>Фирменное наименование юридического лица (согласно уставу регулируемой организации)</t>
  </si>
  <si>
    <t>Параметры формы</t>
  </si>
  <si>
    <t>Описание параметров формы</t>
  </si>
  <si>
    <t>Наименование параметра</t>
  </si>
  <si>
    <t>Информация</t>
  </si>
  <si>
    <t>Субъект Российской Федерации</t>
  </si>
  <si>
    <t>Указывается наименование субъекта Российской Федерации</t>
  </si>
  <si>
    <t>x</t>
  </si>
  <si>
    <t>2.2</t>
  </si>
  <si>
    <t>идентификационный номер налогоплательщика (ИНН)</t>
  </si>
  <si>
    <t>Указывается идентификационный номер налогоплательщика.</t>
  </si>
  <si>
    <t>2.3</t>
  </si>
  <si>
    <t>код причины постановки на учет (КПП)</t>
  </si>
  <si>
    <t>Указывается код причины постановки на учет (при наличии).</t>
  </si>
  <si>
    <t>5.1</t>
  </si>
  <si>
    <t>Сведения о присвоении статуса единой теплоснабжающей организации:</t>
  </si>
  <si>
    <t>Информация в строках 5.x.1 - 5.x.4 указывается только едиными теплоснабжающими организациями.</t>
  </si>
  <si>
    <t>наименование органа, принявшего решение о присвоении статуса единой теплоснабжающей организации</t>
  </si>
  <si>
    <t>дата решения</t>
  </si>
  <si>
    <t>Дата принятия решения о присвоении статуса единой теплоснабжающей организации указывается в виде «ДД.ММ.ГГГГ».</t>
  </si>
  <si>
    <t>номер решения</t>
  </si>
  <si>
    <t>границы зоны (зон) деятельности</t>
  </si>
  <si>
    <t>Указывается описание зоны (зон) деятельности единой теплоснабжающей организации.</t>
  </si>
  <si>
    <t>Добавить сведения</t>
  </si>
  <si>
    <t>Данные должностного лица, ответственного за размещение данных</t>
  </si>
  <si>
    <t>3.1</t>
  </si>
  <si>
    <t>фамилия, имя и отчество должностного лица</t>
  </si>
  <si>
    <t>3.1.1</t>
  </si>
  <si>
    <t>фамилия должностного лица</t>
  </si>
  <si>
    <t>3.1.2</t>
  </si>
  <si>
    <t>имя должностного лица</t>
  </si>
  <si>
    <t>3.1.3</t>
  </si>
  <si>
    <t>отчество должностного лица</t>
  </si>
  <si>
    <t>3.2</t>
  </si>
  <si>
    <t>должность</t>
  </si>
  <si>
    <t>3.3</t>
  </si>
  <si>
    <t>контактный телефон</t>
  </si>
  <si>
    <t>3.4</t>
  </si>
  <si>
    <t>адрес электронной почты</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</si>
  <si>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ФГИС ЕИАС.</t>
  </si>
  <si>
    <t>Добавить контактный телефон</t>
  </si>
  <si>
    <t>Указывается при наличии</t>
  </si>
  <si>
    <t>Режим работы</t>
  </si>
  <si>
    <t>Указывается режим работы регулируемой организации. В случае наличия нескольких режимов работы регулируемой организации, информация по каждому из них указывается в отдельной строке.</t>
  </si>
  <si>
    <t>режим работы абонентских отделов</t>
  </si>
  <si>
    <t>Указывается режим работы абонентских отделов регулируемой организации. В случае наличия нескольких абонентских отделов и (или) режимов работы абонентских отделов, информация по каждому из них указывается в отдельной строке.</t>
  </si>
  <si>
    <t>режим работы сбытовых подразделений</t>
  </si>
  <si>
    <t>Указывается режим работы сбытовых подразделений регулируемой организации. В случае наличия нескольких сбытовых подразделений и (или) режимов работы сбытовых подразделений, информация по каждому из них указывается в отдельной строке.</t>
  </si>
  <si>
    <t>режим работы диспетчерских служб</t>
  </si>
  <si>
    <t>Указывается режим работы диспетчерских служб регулируемой организации. В случае наличия нескольких диспетчерских служб и (или) режимов работы диспетчерских служб, информация по каждому из них указывается в отдельной строке.</t>
  </si>
  <si>
    <t>Добавить режим работы</t>
  </si>
  <si>
    <t>В случае наличия дополнительных режимов работы регулируемой организации (подразделений регулируемой организации) информация по каждому из них указывается в отдельной строке.</t>
  </si>
  <si>
    <t>Наличие или отсутствие утвержденной в установленном порядке инвестиционной программы</t>
  </si>
  <si>
    <t>BLOCK_MAIN_INFO_OBJECT_HEAT</t>
  </si>
  <si>
    <t>BLOCK_MAIN_INFO_OBJECT_VOTV</t>
  </si>
  <si>
    <t>BLOCK_MAIN_INFO_OBJECT_COLDVSNA</t>
  </si>
  <si>
    <t>BLOCK_MAIN_INFO_OBJECT_HOTVSNA</t>
  </si>
  <si>
    <t>D:T</t>
  </si>
  <si>
    <t>Протяженность магистральных сетей (в однотрубном исчислении), км.</t>
  </si>
  <si>
    <t>Протяженность разводящих сетей (в однотрубном исчислении), км.</t>
  </si>
  <si>
    <t>Теплоэлектростанции</t>
  </si>
  <si>
    <t>Тепловые станции</t>
  </si>
  <si>
    <t>Котельные</t>
  </si>
  <si>
    <t>Количество центральных тепловых пунктов, шт.</t>
  </si>
  <si>
    <t>Протяженность канализационных сетей (в однотрубном исчислении), км.</t>
  </si>
  <si>
    <t>Количество насосных станций, шт.</t>
  </si>
  <si>
    <t>Количество очистных сооружений, шт.</t>
  </si>
  <si>
    <t>Протяженность водопроводных сетей (в однотрубном исчислении), км</t>
  </si>
  <si>
    <t>Количество скважин, шт.</t>
  </si>
  <si>
    <t>Количество подкачивающих насосных станций, шт.</t>
  </si>
  <si>
    <t>Протяженность сетей горячего водоснабжения (в однотрубном исчислении), км</t>
  </si>
  <si>
    <t>Количество теплоэлектростанций, шт.</t>
  </si>
  <si>
    <t>Установленная электрическая мощность</t>
  </si>
  <si>
    <t>Единицы изменения</t>
  </si>
  <si>
    <t>Установленная тепловая мощность, Гкал/ч</t>
  </si>
  <si>
    <t>Количество тепловых станций, шт.</t>
  </si>
  <si>
    <t>Количество котельных, шт.</t>
  </si>
  <si>
    <t>0</t>
  </si>
  <si>
    <t>Значения протяженности сетей, показателей в блоках "Теплоэлектростанции", "Тепловые станции", "Котельные" (за исключением колонки "Единицы измерения"), количества центральных тепловых пунктов указываются в виде целых и неотрицательных чисел._x000D_
В случае отсутствия тепловых сетей, теплоэлектростанций, тепловых станций, котельных, центральных тепловых пунктов в соответствующей колонке указывается значение 0._x000D_
В колонке "Единицы измерения" в блоке "Теплоэлектростанции" выбирается одно из значений: кВт*ч или МВт._x000D_
В случае оказания услуг в нескольких системах теплоснабжения информация по каждой из них указывается в отдельной строке.</t>
  </si>
  <si>
    <t>Значения протяженности сетей, количества насосных станций, количества очистных сооружений указываются в виде целых и  неотрицательных чисел._x000D_
В случае отсутствия канализационных сетей, насосных станций, очистных сооружений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водоотведения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водоотведения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</si>
  <si>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скважин, количества подкачивающих насосных станций указываются в виде целых и неотрицательных чисел._x000D_
В случае отсутствия водопроводных сетей, скважин, подкачивающих станций в соответствующей колонке указывается значение 0._x000D_
В случае осуществления регулируемых видов деятельности в нескольких централизованных системах холодного водоснабжения информация по каждой из них указывается в отдельной строке._x000D_
В случае осуществления регулируемых видов деятельности с использованием одной централизованной системы холодного водоснабжения на территории нескольких субъектов Российской Федерации значение показателя указывается в целом по данной централизованной системе.</t>
  </si>
  <si>
    <t>Значения протяженности сетей, количества центральных тепловых пунктов указываются в виде целых и неотрицательных чисел._x000D_
В случае отсутствия водопроводных сетей, центральных тепловых пунктов в соответствующей колонке указывается значение 0._x000D_
В случае осуществления регулируемых видов деятельности в нескольких централизованных системах горячего водоснабжения информация по каждой из них указывается в отдельной строке.</t>
  </si>
  <si>
    <t>n</t>
  </si>
  <si>
    <t>64235586; 64235587</t>
  </si>
  <si>
    <t>Добавить вид объекта</t>
  </si>
  <si>
    <t>Форма 2. Вид деятельности и виды объектов, используемых для оказания услуг в области обращения с твердыми коммунальными отходами, и их количество</t>
  </si>
  <si>
    <t>Вид объекта, используемых для оказания услуг в области обращения с твердыми коммунальными отходами</t>
  </si>
  <si>
    <t>Количество объектов, используемых для оказания услуг в области обращения с твердыми коммунальными отходами, шт.</t>
  </si>
  <si>
    <t>Значение количества объектов, используемых для оказания услуг в области обращения с твердыми коммунальными отходами, указывается в виде целых и неотрицательных чисел._x000D_
В случае отсутствия объектов того или иного вида, используемых для оказания услуг в области обращения с твердыми коммунальными отходами, указывается значение «0»._x000D_
В случае оказания услуг по нескольким видам деятельности информация по каждому из них указывается отдельно._x000D_
В случае наличия нескольких видов объектов, используемых для оказания услуг в области обращения с твердыми коммунальными отходами, информация по каждому из них указывается отдельно.</t>
  </si>
  <si>
    <t>Информация об отсутствии сети "Интернет" &lt;1&gt;</t>
  </si>
  <si>
    <t>Отсутствует доступ к сети "Интернет"</t>
  </si>
  <si>
    <t>Ссылка на документ</t>
  </si>
  <si>
    <t>В случае отсутствия доступа к сети "Интернет" на территории выбранного муниципального образования в колонке "Отсутствует доступ к сети "Интернет" указывается "Да"._x000D_
В колонке "Ссылка на документ" указывается материал в виде ссылки на документ, подтверждающий отсутствие сети "Интернет" на территории выбранного муниципального образования, предварительно загруженный в хранилище данных ФГИС ЕИАС._x000D_
В случае отсутствия доступа к сети "Интернет" на территории нескольких муниципальных районов (муниципальных образований) информация по каждому из них указывается в отдельной строке.</t>
  </si>
  <si>
    <t>Омский муниципальный район</t>
  </si>
  <si>
    <t>Ачаирское сельское поселение</t>
  </si>
  <si>
    <t>52644404</t>
  </si>
  <si>
    <t>Ачаирское сельское поселение (52644404)</t>
  </si>
  <si>
    <t>Указывается наименование тарифа в случае утверждения нескольких тарифов._x000D_
В случае наличия нескольких тарифов информация по ним указывается в отдельных строках.</t>
  </si>
  <si>
    <t>Территория действия тарифа</t>
  </si>
  <si>
    <t>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</si>
  <si>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 xml:space="preserve">Наименование системы теплоснабжения </t>
  </si>
  <si>
    <t>Указывается наименование системы теплоснабжения при наличии дифференциации тарифа по системам теплоснабжения._x000D_
В случае дифференциации тарифов по системам теплоснабжения информация по ним указывается в отдельных строках.</t>
  </si>
  <si>
    <t xml:space="preserve">Источник тепловой энергии  </t>
  </si>
  <si>
    <t>Указывается наименование источника тепловой энергии_x000D_
В случае дифференциации тарифов по источникам тепловой энергии информация по ним указывается в отдельных строках.</t>
  </si>
  <si>
    <t>SCHEME</t>
  </si>
  <si>
    <t>Схема подключения теплопотребляющей установки к коллектору источника тепловой энергии</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</si>
  <si>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мощности_x000D_
Значение выбирается из перечня:_x000D_
   - без дифференциации_x000D_
   - к коллектору источника тепловой энергии_x000D_
   - к тепловой сети без дополнительного преобразования на тепловых пунктах, эксплуатируемых теплоснабжающей организацией_x000D_
   - к тепловой сети после тепловых пунктов (на тепловых пунктах), эксплуатируемых теплоснабжающей организацией_x000D_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</si>
  <si>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GROUP_CONSUMER</t>
  </si>
  <si>
    <t>Группа потребителей</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</si>
  <si>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группам потребителей информация по ним указывается в отдельных строках.</t>
  </si>
  <si>
    <t>TN</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</si>
  <si>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мощности._x000D_
В случае дифференциации тарифов по периодам действия тарифа информация по ним указывается в отдельных колонках._x000D_
В случае дифференциации тарифов по видам теплоносителя информация по ним указывается в отдельных строках.</t>
  </si>
  <si>
    <t>Добавить вид теплоносителя (параметры теплоносителя)</t>
  </si>
  <si>
    <t>Добавить группу потребителей</t>
  </si>
  <si>
    <t>Добавить схему подключения</t>
  </si>
  <si>
    <t>PERIOD_FROM_FIRST_ROW</t>
  </si>
  <si>
    <t>FLAG_BLOCK_COLUMN</t>
  </si>
  <si>
    <t>SPR</t>
  </si>
  <si>
    <t>FLAG_START_DATE</t>
  </si>
  <si>
    <t>FLAG_ETC_PERIOD</t>
  </si>
  <si>
    <t>FLAG_END_DATE</t>
  </si>
  <si>
    <t>Дата документа об утверждении тарифов</t>
  </si>
  <si>
    <t>Номер документа об утверждении тарифов</t>
  </si>
  <si>
    <t>Дата подачи заявления об утверждении тарифов</t>
  </si>
  <si>
    <t>Номер подачи заявления об утверждении тарифов</t>
  </si>
  <si>
    <t>dp</t>
  </si>
  <si>
    <t>Параметр дифференциации тарифа</t>
  </si>
  <si>
    <t>Величина и срок действия тарифа</t>
  </si>
  <si>
    <t>Наличие других периодов действия тарифа</t>
  </si>
  <si>
    <t>Наличие других сроков действия тарифа</t>
  </si>
  <si>
    <t>Добавить срок действия</t>
  </si>
  <si>
    <t>Одноставочный тариф,_x000D_
руб./Гкал</t>
  </si>
  <si>
    <t>Ставка за содержание тепловой мощности,_x000D_
тыс. руб./Гкал/ч/мес.</t>
  </si>
  <si>
    <t>Двухставочный тариф</t>
  </si>
  <si>
    <t>Срок действия</t>
  </si>
  <si>
    <t>NUM_NTAR</t>
  </si>
  <si>
    <t>NUM_TER</t>
  </si>
  <si>
    <t>NUM_CS</t>
  </si>
  <si>
    <t>NUM_IST_TE</t>
  </si>
  <si>
    <t>NUM_SCHEME</t>
  </si>
  <si>
    <t>NUM_GC</t>
  </si>
  <si>
    <t>NUM_TN</t>
  </si>
  <si>
    <t>ставка за тепловую энергию,_x000D_
руб./Гкал</t>
  </si>
  <si>
    <t>ставка за содержание тепловой мощности,_x000D_
тыс. руб./Гкал/ч/мес</t>
  </si>
  <si>
    <t>дата начала</t>
  </si>
  <si>
    <t>дата окончания</t>
  </si>
  <si>
    <t>Период действия</t>
  </si>
  <si>
    <t>без дифференциации</t>
  </si>
  <si>
    <t>организации-перепродавцы</t>
  </si>
  <si>
    <t>вода</t>
  </si>
  <si>
    <t>прочие</t>
  </si>
  <si>
    <t>бюджетные организации</t>
  </si>
  <si>
    <t>Одноставочный тариф,_x000D_
руб./куб.м</t>
  </si>
  <si>
    <t>В колонке «Параметр дифференциации тарифов» указывается вид теплоносителя._x000D_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При утверждении двухставочного тарифа тариф колонка "Одноставочный тариф" не заполняется._x000D_
При подаче утверждении одноставочного тарифа колонки в блоке "Двухставочный тариф" не заполняются.Информация в колонке "Двухставочный тариф" не указывается для тарифа на теплоноситель._x000D_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"Нет".В случае дифференциации тарифов по видам теплоносителя информация по ним указывается в отдельных строках.</t>
  </si>
  <si>
    <t>Указывается вид теплоносителя. _x000D_
Значение выбирается из перечня:_x000D_
   - вода;_x000D_
   - пар;_x000D_
   - отборный пар, 1.2 – 2.5 кг/см2;_x000D_
   - отборный пар, 2.5 – 7 кг/см2;_x000D_
   - отборный пар, 7 – 13 кг/см2;_x000D_
   - отборный пар, &gt; 13 кг/см2;_x000D_
   - острый и редуцированный пар;_x000D_
   - горячая вода в системе централизованного теплоснабжения на отопление;_x000D_
   - горячая вода в системе централизованного теплоснабжения на горячее водоснабжение;_x000D_
   - прочее._x000D_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</si>
  <si>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поставщикам._x000D_
При утверждении двухставочного тарифа колонка "Одноставочный тариф" не заполняется._x000D_
При утверждении одноставочного тарифа колонки в блоке "Двухставочный тариф" не заполняются._x000D_
В случае отсутствия разбивки тарифа на компоненты колонки "Компонент на теплоноситель, руб./куб. м" и "Одноставочный компонент на тепловую энергию, руб/Гкал" не заполняются._x000D_
Даты начала и окончания действия тарифов указываются в виде "ДД.ММ.ГГГГ"._x000D_
В случае отсутствия даты окончания действия тарифа в колонке "Дата окончания" указывается "Нет"._x000D_
В случае дифференциации тарифов по поставщикам информация по ним указывается в отдельных строках.</t>
  </si>
  <si>
    <t>Добавить наименование поставщика</t>
  </si>
  <si>
    <t>Одноставочный тариф на горячую воду,_x000D_
руб./куб. м</t>
  </si>
  <si>
    <t>Двухкомпонентный тариф на горячую воду</t>
  </si>
  <si>
    <t>Компонент на теплоноситель,_x000D_
руб./куб. м</t>
  </si>
  <si>
    <t>Компонента на тепловую энергию</t>
  </si>
  <si>
    <t>Одноставочный компонент тарифа на тепловую энергию,_x000D_
руб/Гкал</t>
  </si>
  <si>
    <t>Двухставочный компонент тарифа на тепловую энергию</t>
  </si>
  <si>
    <t>NUM_CONS</t>
  </si>
  <si>
    <t>ставка за потребление горячей воды,_x000D_
руб./куб. м</t>
  </si>
  <si>
    <t>ставка за содержание тепловой мощности в компоненте на тепловую энергию,_x000D_
тыс. руб./Гкал/ч в мес.</t>
  </si>
  <si>
    <t>В колонке "Параметр дифференциации тарифа/Заявитель"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</si>
  <si>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диапазон диаметров тепловых сетей</t>
  </si>
  <si>
    <t>Добавить тип прокладки тепловых сетей</t>
  </si>
  <si>
    <t>Добавить подключаемую тепловую нагрузку</t>
  </si>
  <si>
    <t>Добавить строку</t>
  </si>
  <si>
    <t>FLAG</t>
  </si>
  <si>
    <t>LOAD</t>
  </si>
  <si>
    <t>NETS</t>
  </si>
  <si>
    <t>DIAMETERS</t>
  </si>
  <si>
    <t>Параметр дифференциации тарифа/ заявитель/ наименование объекта/адрес</t>
  </si>
  <si>
    <t>Подключаемая тепловая нагрузка,_x000D_
Гкал/ч</t>
  </si>
  <si>
    <t>Тип прокладки тепловых сетей</t>
  </si>
  <si>
    <t>Диаметр тепловых сетей,_x000D_
мм</t>
  </si>
  <si>
    <t>Плата за подключение (технологическое присоединение)</t>
  </si>
  <si>
    <t>с НДС</t>
  </si>
  <si>
    <t>без НДС</t>
  </si>
  <si>
    <t>В колонке "Параметр дифференциации тарифа/заявитель/наименование объекта/адрес" указывается наименование категории потребителей,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</si>
  <si>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Наименование централизованной системы холодного водоснабжения</t>
  </si>
  <si>
    <t>Указывается наименование централизованной системы холодного водоснабжения при наличии дифференциации тарифа по централизованным системам холодного водоснабжения._x000D_
В случае дифференциации тарифов по централизованным системам холодного водоснабжения информация по ним указывается в отдельных строках.</t>
  </si>
  <si>
    <t>Наименование признака дифференциации</t>
  </si>
  <si>
    <t>Указывается наименование дополнительного признака дифференциации (при наличии)._x000D_
Дифференциация тарифа осуществляется в соответствии с законодательством в сфере водоснабжения и водоотведения._x000D_
В случае дифференциации тарифов по дополнительным признакам информация по ним указывается в отдельных строках.</t>
  </si>
  <si>
    <t>Указывается группа потребителей при наличии дифференциации тарифа по группам потребителей._x000D_
Значение выбирается из перечня:_x000D_
  - Организации-перепродавцы;_x000D_
  - Бюджетные организации;_x000D_
  - Население;_x000D_
  - Прочие;_x000D_
  - Без дифференциации._x000D_
В случае дифференциации тарифов по группам потребителей информация по ним указывается в отдельных строках.</t>
  </si>
  <si>
    <t>Добавить значение признака дифференциации</t>
  </si>
  <si>
    <t>В случае наличия нескольких значений признака дифференциации тарифов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</si>
  <si>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наименование признака дифференциации</t>
  </si>
  <si>
    <t>Одноставочный тариф</t>
  </si>
  <si>
    <t>NUM_FLAG_DIFF</t>
  </si>
  <si>
    <t>NUM_DATA_DIFF</t>
  </si>
  <si>
    <t>Одноставочный тариф,_x000D_
руб./куб. м</t>
  </si>
  <si>
    <t>ставка платы за объем поданной воды,_x000D_
руб./куб. м</t>
  </si>
  <si>
    <t>ставка платы за содержание мощности,_x000D_
руб./куб. м в час</t>
  </si>
  <si>
    <t>pt_ist_te_9</t>
  </si>
  <si>
    <t>pt_ist_te_10</t>
  </si>
  <si>
    <t>pt_ist_te_11</t>
  </si>
  <si>
    <t>pt_ist_te_12</t>
  </si>
  <si>
    <t>Заявитель</t>
  </si>
  <si>
    <t>Наименование объекта, адрес</t>
  </si>
  <si>
    <t>В колонке "Параметр дифференциации тарифа/Заявитель" указывается наименование категории потребителей/заявителя, к которой относится тариф._x000D_
Даты начала и окончания указываются в виде "ДД.ММ.ГГГГ"._x000D_
В случае отсутствия даты окончания тарифа в колонке "Дата окончания" указывается "Нет"._x000D_
В случае дифференциации по категориям потребителей/заявителям, подключаемой нагрузке, диапазону диаметров, протяженности, условиям прокладки водопроводной сети информация по ним указывается в отдельных строках._x000D_
В случае дифференциации тарифов по периодам действия тарифа информация по ним указывается в отдельных колонках.</t>
  </si>
  <si>
    <t>Добавить условия прокладки сетей</t>
  </si>
  <si>
    <t>Добавить протяженность водопроводной сети</t>
  </si>
  <si>
    <t>Добавить диапазон диаметров водопроводной сети</t>
  </si>
  <si>
    <t>Добавить подключаемую нагрузку</t>
  </si>
  <si>
    <t>DIAMETERS_2</t>
  </si>
  <si>
    <t>Параметр дифференциации тарифа/Заявитель/Наименование объекта/Адрес</t>
  </si>
  <si>
    <t>Подключаемая нагрузка водопроводной сети,_x000D_
куб. м/сут</t>
  </si>
  <si>
    <t>Диапазон диаметров водопроводной сети,_x000D_
мм</t>
  </si>
  <si>
    <t>Протяженность водопроводной сети,_x000D_
км</t>
  </si>
  <si>
    <t>Условия прокладки сетей</t>
  </si>
  <si>
    <t>Ставка тарифа за подключаемую нагрузку водопроводной сети,_x000D_
тыс. руб./куб. м в сутки</t>
  </si>
  <si>
    <t>Ставка тарифа за протяженность водопроводной сети диаметром d,_x000D_
тыс. руб./км</t>
  </si>
  <si>
    <t>Срок действия тарифов</t>
  </si>
  <si>
    <t>pt_ist_te_13</t>
  </si>
  <si>
    <t>Наименование централизованной системы водоотведения</t>
  </si>
  <si>
    <t>Указывается наименование централизованной системы водоотведения при наличии дифференциации тарифа по централизованным системам водоотведения._x000D_
В случае дифференциации тарифов по централизованным системам водоотведения информация по ним указывается в отдельных строках.</t>
  </si>
  <si>
    <t>одноставочный тариф,_x000D_
руб./куб. м</t>
  </si>
  <si>
    <t>ставка платы за объем _x000D_
принятых сточных вод,_x000D_
руб./куб. м</t>
  </si>
  <si>
    <t>pt_ist_te_17</t>
  </si>
  <si>
    <t>pt_ist_te_18</t>
  </si>
  <si>
    <t>Добавить протяженность сети</t>
  </si>
  <si>
    <t>Добавить диапазон диаметров</t>
  </si>
  <si>
    <t>Подключаемая нагрузка канализационной сети,_x000D_
куб. м/сут</t>
  </si>
  <si>
    <t>Диапазон диаметров канализационной сети,_x000D_
мм</t>
  </si>
  <si>
    <t>Протяженность канализационной  сети,_x000D_
км</t>
  </si>
  <si>
    <t>Ставка тарифа за подключаемую нагрузку канализационной сети,_x000D_
тыс. руб./куб. м в сутки</t>
  </si>
  <si>
    <t>Ставка тарифа за протяженность канализационной сети диаметром d,_x000D_
тыс. руб./км</t>
  </si>
  <si>
    <t>pt_ist_te_19</t>
  </si>
  <si>
    <t>Наименование централизованной системы горячего водоснабжения</t>
  </si>
  <si>
    <t>Указывается наименование централизованной системы горячего водоснабжения при наличии дифференциации тарифа по централизованным системам горячего водоснабжения._x000D_
В случае дифференциации тарифов по централизованным системам горячего водоснабжения информация по ним указывается в отдельных строках.</t>
  </si>
  <si>
    <t>Одноставочный тариф, руб./куб. м</t>
  </si>
  <si>
    <t>Компонент на холодную воду</t>
  </si>
  <si>
    <t>Компонент на тепловую энергию</t>
  </si>
  <si>
    <t>Одноставочный, руб./куб.м</t>
  </si>
  <si>
    <t>Двухставочный тариф</t>
  </si>
  <si>
    <t>Одноставочный, руб./Гкал</t>
  </si>
  <si>
    <t>Ставка за содержание системы, руб./куб. м в час</t>
  </si>
  <si>
    <t>Ставка за объём поданной воды, руб./куб.м</t>
  </si>
  <si>
    <t>Ставка за тепловую энергию, руб./Гкал</t>
  </si>
  <si>
    <t>Ставка за содержание тепловой мощности, руб./Гкал в час в месяц</t>
  </si>
  <si>
    <t>pt_ist_te_14</t>
  </si>
  <si>
    <t>pt_ist_te_15</t>
  </si>
  <si>
    <t>pt_ist_te_16</t>
  </si>
  <si>
    <t>vt</t>
  </si>
  <si>
    <t>х</t>
  </si>
  <si>
    <t>В колонке «Наименование параметра» указывается вид приобретаемого топлива._x000D_
Если приобретается несколько видов топлива, то информация по каждому из них указывается отдельно.</t>
  </si>
  <si>
    <t>общая стоимость</t>
  </si>
  <si>
    <t>объём</t>
  </si>
  <si>
    <t>В колонке «Единица измерения» указываются единицы измерения объема приобретаемого топлива._x000D_
В колонке «Информация» указывается величина объема приобретаемого топлива.</t>
  </si>
  <si>
    <t>стоимость за единицу объёма</t>
  </si>
  <si>
    <t>тыс. руб.</t>
  </si>
  <si>
    <t>стоимость доставки</t>
  </si>
  <si>
    <t>способ приобретения</t>
  </si>
  <si>
    <t>Указываются прочие расходы, которые подлежат отнесению на регулируемые виды деятельности в соответствии с законодательством.</t>
  </si>
  <si>
    <t>Гкал/ч</t>
  </si>
  <si>
    <t>Указывается установленная тепловая мощность для источника тепловой энергии.</t>
  </si>
  <si>
    <t>%</t>
  </si>
  <si>
    <t>Указывается показатель использования по производственному объекту как процент объем перекачки по отношению к пиковому дню отчетного года.</t>
  </si>
  <si>
    <t>кг у. т./Гкал</t>
  </si>
  <si>
    <t>Указывается норматив удельного расхода условного топлива при производстве тепловой энергии источниками тепловой энергии для отдельного источника тепловой энергии.</t>
  </si>
  <si>
    <t>кг усл. топл./Гкал</t>
  </si>
  <si>
    <t>Указывается фактический удельный расход условного топлива при производстве тепловой энергии источниками тепловой энергии для отдельного источника тепловой энергии.</t>
  </si>
  <si>
    <t>Территория оказания услуг</t>
  </si>
  <si>
    <t>Централизованная система</t>
  </si>
  <si>
    <t>Единица измерения</t>
  </si>
  <si>
    <t>p</t>
  </si>
  <si>
    <t>HEAT_P1</t>
  </si>
  <si>
    <t>Добавить вид топлива</t>
  </si>
  <si>
    <t>HOTVSNA_P1</t>
  </si>
  <si>
    <t>руб.</t>
  </si>
  <si>
    <t>тыс. кВт·ч</t>
  </si>
  <si>
    <t>HEAT_P6</t>
  </si>
  <si>
    <t>NOT_HOTVSNA</t>
  </si>
  <si>
    <t>отсутствует</t>
  </si>
  <si>
    <t>NOT_HEAT_P1</t>
  </si>
  <si>
    <t>Добавить прочие расходы</t>
  </si>
  <si>
    <t>HEAT_P2</t>
  </si>
  <si>
    <t>NOT_HEAT_P2</t>
  </si>
  <si>
    <t>COLDVSNA_P1</t>
  </si>
  <si>
    <t>тыс. куб. м</t>
  </si>
  <si>
    <t>HOTVSNA_P2</t>
  </si>
  <si>
    <t>тыс. Гкал</t>
  </si>
  <si>
    <t>VOTV_P1</t>
  </si>
  <si>
    <t>HEAT_P3</t>
  </si>
  <si>
    <t>Добавить источник тепловой энергии</t>
  </si>
  <si>
    <t>В случае наличия нескольких источников тепловой энергии установленная тепловая мощность по каждому из них указывается в отдельных строках.</t>
  </si>
  <si>
    <t>hyp</t>
  </si>
  <si>
    <t>тыс. Гкал/год</t>
  </si>
  <si>
    <t>человек</t>
  </si>
  <si>
    <t>HEAT_P4</t>
  </si>
  <si>
    <t>VSNA</t>
  </si>
  <si>
    <t>тыс. кВт·ч на тыс. куб. м</t>
  </si>
  <si>
    <t>COLDVSNA_P2</t>
  </si>
  <si>
    <t>Добавить производственный объект</t>
  </si>
  <si>
    <t>В случае наличия нескольких производственных объектов информация по каждому из них указывается в отдельной строке.</t>
  </si>
  <si>
    <t>HEAT_P5</t>
  </si>
  <si>
    <t>В случае наличия нескольких источников тепловой энергии норматив удельного расхода условного топлива по каждому из них указывается в отдельных строках.</t>
  </si>
  <si>
    <t>В случае наличия нескольких источников тепловой энергии фактический удельный расход условного топлива по каждому из них указывается в отдельных строках.</t>
  </si>
  <si>
    <t>тыс. кВт.ч/Гкал</t>
  </si>
  <si>
    <t>куб.м/Гкал</t>
  </si>
  <si>
    <t>Способ приобретения</t>
  </si>
  <si>
    <t>Реквизиты договора</t>
  </si>
  <si>
    <t>Наименование товара/услуги</t>
  </si>
  <si>
    <t>Объем приобретенных товаров, услуг</t>
  </si>
  <si>
    <t>Единица измерения объема</t>
  </si>
  <si>
    <t>Стоимость, тыс. руб.</t>
  </si>
  <si>
    <t>Доля расходов, % (от суммы расходов по указанной статье)</t>
  </si>
  <si>
    <t>NOTSHOW</t>
  </si>
  <si>
    <t>Информация об объемах товаров и услуг, их стоимости и способах приобретения у организаций, в том числе:</t>
  </si>
  <si>
    <t>Указывается сумма стоимости приобретения товаров и услуг у организаций, сумма оплаты услуг которых превышает 20% суммы расходов на капитальный и текущий ремонт основных производственных средства</t>
  </si>
  <si>
    <t>i</t>
  </si>
  <si>
    <t>Расходы на услуги производственного характера, выполняемые по договорам с организациями на проведение регламентных работ в рамках технологического процесса. Из них товары и услуги, приобретенные у организаций, сумма оплаты услуг которых превышает 20% суммы расходов по статье:</t>
  </si>
  <si>
    <t>Указывается сумма стоимости приобретения товаров и услуг у организаций, сумма оплаты услуг которых превышает 20% суммы расходов на услуги производственного характера</t>
  </si>
  <si>
    <t>L.HEAT.POWER.DYN</t>
  </si>
  <si>
    <t>Установленная тепловая мощность объекта основных фондов</t>
  </si>
  <si>
    <t>ЧСЛ</t>
  </si>
  <si>
    <t>НОМЕР</t>
  </si>
  <si>
    <t>Форма 9. Информация об основных технико-экономических параметрах деятельности единой теплоснабжающей организации в ценовых зонах теплоснабжения, об основных технико-экономических параметрах деятельности теплоснабжающей организации в ценовых зонах теплоснабжения и теплосетевой организации в ценовых зонах теплоснабжения</t>
  </si>
  <si>
    <t>ВЭД</t>
  </si>
  <si>
    <t>РАЙОН</t>
  </si>
  <si>
    <t>НМОБ</t>
  </si>
  <si>
    <t>НОМЕР2</t>
  </si>
  <si>
    <t>ДЕТ</t>
  </si>
  <si>
    <t>L.ACC.STATEMENTS</t>
  </si>
  <si>
    <t>Годовая бухгалтерская (финансовая) отчетность</t>
  </si>
  <si>
    <t>СТР</t>
  </si>
  <si>
    <t>Не определено</t>
  </si>
  <si>
    <t>Годовая бухгалтерская (финансовая) отчетность, включая бухгалтерский баланс и приложения к нему</t>
  </si>
  <si>
    <t>p3</t>
  </si>
  <si>
    <t>Указывается ссылка на документ, предварительно загруженный в хранилище файлов ФГИС ЕИАС.</t>
  </si>
  <si>
    <t>L.HEAT.POWER</t>
  </si>
  <si>
    <t>Установленная тепловая мощность объектов основных фондов</t>
  </si>
  <si>
    <t>Установленная тепловая мощность объектов основных фондов, используемых для теплоснабжения, в том числе по каждому источнику тепловой энергии</t>
  </si>
  <si>
    <t>Указывается суммарная установленная тепловая мощность объектов основных фондов, используемых для осуществления теплоснабжения.</t>
  </si>
  <si>
    <t>2.0</t>
  </si>
  <si>
    <t>L.HEAT.LOAD</t>
  </si>
  <si>
    <t>Тепловая нагрузка по договорам теплоснабжения</t>
  </si>
  <si>
    <t>Информация раскрывается только единой теплоснабжающей организацией в ценовых зонах теплоснабжения.</t>
  </si>
  <si>
    <t>L.VOLUME.ENERGY.PRODUCED</t>
  </si>
  <si>
    <t>Объем вырабатываемой тепловой энергии</t>
  </si>
  <si>
    <t>Объем вырабатываемой единой теплоснабжающей организацией в ценовых зонах теплоснабжения тепловой энергии, теплоснабжающей организацией в ценовых зонах теплоснабжения и передаваемой теплосетевой организацией в ценовых зонах теплоснабжения тепловой энергии</t>
  </si>
  <si>
    <t>L.VOLUME.ENERGY.PURCHASED</t>
  </si>
  <si>
    <t>Объем приобретаемой тепловой энергии</t>
  </si>
  <si>
    <t>Объем приобретаемой единой теплоснабжающей организацией в ценовых зонах теплоснабжения тепловой энергии</t>
  </si>
  <si>
    <t>L.VOLUME.ENERGY.RELEASED</t>
  </si>
  <si>
    <t>Объем тепловой энергии, отпускаемой потребителям по договорам</t>
  </si>
  <si>
    <t xml:space="preserve">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 </t>
  </si>
  <si>
    <t>Указывается общий объем тепловой энергии, отпускаемой потребителям._x000D_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</si>
  <si>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L.RELEASED.BY.PU</t>
  </si>
  <si>
    <t xml:space="preserve">Объем тепловой энергии по приборам учета </t>
  </si>
  <si>
    <t>6.1</t>
  </si>
  <si>
    <t xml:space="preserve">по приборам учета </t>
  </si>
  <si>
    <t>L.RELEASED.BY.CALC</t>
  </si>
  <si>
    <t xml:space="preserve">Объем тепловой энергии расчетным путем </t>
  </si>
  <si>
    <t>6.2</t>
  </si>
  <si>
    <t xml:space="preserve">расчетным путем </t>
  </si>
  <si>
    <t>L.RELEASED.BY.NORMATIVE</t>
  </si>
  <si>
    <t>Объем тепловой энергии по нормативам потребления</t>
  </si>
  <si>
    <t>6.3</t>
  </si>
  <si>
    <t>по нормативам потребления коммунальных услуг и нормативам потребления коммунальных ресурсов</t>
  </si>
  <si>
    <t>L.VOLUME.LOSSES.PLAN</t>
  </si>
  <si>
    <t>Плановый объем потерь при передаче тепловой энергии</t>
  </si>
  <si>
    <t xml:space="preserve">тыс. Гкал/год </t>
  </si>
  <si>
    <t>L.VOLUME.LOSSES.FACT</t>
  </si>
  <si>
    <t>Фактический объем потерь при передаче тепловой энергии</t>
  </si>
  <si>
    <t>L.UNIT.COST.PLAN</t>
  </si>
  <si>
    <t>Плановый удельный расход условного топлива при производстве тепловой энергии</t>
  </si>
  <si>
    <t xml:space="preserve">Плановый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</si>
  <si>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L.UNIT.COST.FACT</t>
  </si>
  <si>
    <t>Фактический удельный расход условного топлива при производстве тепловой энергии</t>
  </si>
  <si>
    <t xml:space="preserve">Фактический удельный расход условного топлива при производстве тепловой энергии источниками тепловой энергии с распределением по источникам тепловой энергии </t>
  </si>
  <si>
    <t>L.PRODUCTION.STAFF</t>
  </si>
  <si>
    <t>Среднесписочная численность основного производственного персонала</t>
  </si>
  <si>
    <t>L.ADMINISTRATIVE STAFF</t>
  </si>
  <si>
    <t>Среднесписочная численность административно-управленческого персонала</t>
  </si>
  <si>
    <t>L.UNIT.COST.EE</t>
  </si>
  <si>
    <t>Удельный расход электрической энергии</t>
  </si>
  <si>
    <t xml:space="preserve">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</si>
  <si>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L.UNIT.COST.COLD.WATER</t>
  </si>
  <si>
    <t>Удельный расход холодной воды</t>
  </si>
  <si>
    <t xml:space="preserve">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 </t>
  </si>
  <si>
    <t>куб. м/Гкал</t>
  </si>
  <si>
    <t>L.CONDITION.INFO</t>
  </si>
  <si>
    <t>Информация о показателях технико-экономического состояния систем теплоснабжения</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</si>
  <si>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 информация о показателях физического износа объектов теплоснабжения, информация о показателях энергетической эффективности объектов теплоснабжения</t>
  </si>
  <si>
    <t>L.STANDARDS.OTHER</t>
  </si>
  <si>
    <t>Прочие стандарты</t>
  </si>
  <si>
    <t>Форма 10. Информация о стандартах качества обслуживания единой теплоснабжающей организацией в ценовых зонах теплоснабжения потре-бителей тепловой энергии и стандартах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 о выполнении соглашения об исполнении схемы теплоснабжения</t>
  </si>
  <si>
    <t xml:space="preserve">L.STANDARDS.SERVICE.QUALITY </t>
  </si>
  <si>
    <t>Стандарты качества обслуживания</t>
  </si>
  <si>
    <t>Стандарты качества обслуживания единой теплоснабжающей организацией в ценовых зонах теплоснабжения потребителей тепловой энергии</t>
  </si>
  <si>
    <t>Информация включает сведения о месте их опубликования.</t>
  </si>
  <si>
    <t>L.STANDARDS.INTERACTION</t>
  </si>
  <si>
    <t>Стандарты взаимодействия</t>
  </si>
  <si>
    <t>Стандарты взаимодействия единой теплоснабжающей организации в ценовых зонах теплоснабжения с теплоснабжающими организациями в ценовых зонах теплоснабжения, владеющими на праве собственности и (или) ином законном основании источниками тепловой энергии</t>
  </si>
  <si>
    <t>L.STANDARDS.AGREEMENT</t>
  </si>
  <si>
    <t>Информация о выполнении соглашения</t>
  </si>
  <si>
    <t>Информация о выполнении соглашения об исполнении схемы теплоснабжения</t>
  </si>
  <si>
    <t>Информация включает сведения о достижении целевых показателей испол-нения схемы теплоснабжения единой теплоснабжающей организацией в це-новых зонах теплоснабжения и выполнении сторонами соглашения обяза-тельств, включенных в указанное соглашение в соответствии с Федеральным законом от 27 июля 2010 г. № 190-ФЗ «О теплоснабжении».</t>
  </si>
  <si>
    <t>Добавить стандарты</t>
  </si>
  <si>
    <t>Указываются прочие расходы,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</si>
  <si>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Форма 5. Информация об основных показателях финансово-хозяйственной деятельности организации в части регулируемых видов деятельности за отчётный год</t>
  </si>
  <si>
    <t>Выручка от регулируемого вида деятельности</t>
  </si>
  <si>
    <t xml:space="preserve">Указывается выручка от регулируемого вида деятельности </t>
  </si>
  <si>
    <t>Себестоимость оказываемых услуг по обращению с твёрдыми коммунальными отходами по регулируемому виду деятельности, включая:</t>
  </si>
  <si>
    <t xml:space="preserve">Указывается суммарная себестоимость </t>
  </si>
  <si>
    <t>2.1</t>
  </si>
  <si>
    <t>производственные расходы, в том числе:</t>
  </si>
  <si>
    <t>Указывается общая сумма производственных расходов.</t>
  </si>
  <si>
    <t>2.1.1</t>
  </si>
  <si>
    <t>расходы на оплату труда основного производственного персонала</t>
  </si>
  <si>
    <t>Указывается общая сумма расходов на оплату труда и страховых взносов производственного персонала.</t>
  </si>
  <si>
    <t>2.1.2</t>
  </si>
  <si>
    <t>страховые взносы на обязательное социальное страхование, выплачиваемые из фонда оплаты труда основного производственного персонала</t>
  </si>
  <si>
    <t>ремонтные расходы, включая:</t>
  </si>
  <si>
    <t>Указывается общая сумма ремонтных расходов</t>
  </si>
  <si>
    <t>2.2.1</t>
  </si>
  <si>
    <t>расходы на текущий ремонт</t>
  </si>
  <si>
    <t>2.2.2</t>
  </si>
  <si>
    <t>расходы на капитальный ремонт</t>
  </si>
  <si>
    <t>административные расходы, в том числе:</t>
  </si>
  <si>
    <t>Указывается общая сумма расходов на оплату труда и страховых взносов административно-управленческого персонала</t>
  </si>
  <si>
    <t>2.3.1</t>
  </si>
  <si>
    <t>расходы на оплату труда</t>
  </si>
  <si>
    <t>2.3.2</t>
  </si>
  <si>
    <t xml:space="preserve">страховые взносы на обязательное социальное страхование, выплачиваемые из фонда оплаты труда административно-управленческого персонала </t>
  </si>
  <si>
    <t>2.4</t>
  </si>
  <si>
    <t>расходы на амортизацию основных средств и нематериальных активов:</t>
  </si>
  <si>
    <t>Указывается общая сумма расходов на амортизацию основных средства и нематериальных активов</t>
  </si>
  <si>
    <t>2.4.1</t>
  </si>
  <si>
    <t>расходы на амортизацию основных средств</t>
  </si>
  <si>
    <t>2.4.2</t>
  </si>
  <si>
    <t>расходы на амортизацию нематериальных активов</t>
  </si>
  <si>
    <t>2.5</t>
  </si>
  <si>
    <t>расходы на арендную плату</t>
  </si>
  <si>
    <t>2.6</t>
  </si>
  <si>
    <t>расходы на лизинговые платежи</t>
  </si>
  <si>
    <t>2.7</t>
  </si>
  <si>
    <t xml:space="preserve"> расходы на концессионную плату</t>
  </si>
  <si>
    <t>2.8</t>
  </si>
  <si>
    <t>прочие расходы, которые подлежат отнесению на регулируемые виды деятельности, в том числе:</t>
  </si>
  <si>
    <t>Указывается общая сумма прочих расходов, которые подлежат отнесению на регулируемые виды деятельности в соответствии с законодательством в области обращения с твёрдыми коммунальными отходами.</t>
  </si>
  <si>
    <t>В случае наличия нескольких видов прочих расходов информация указывается в отдельных строках.</t>
  </si>
  <si>
    <t>2.9</t>
  </si>
  <si>
    <t>расходы на транспортирование твёрдых коммунальных отходов</t>
  </si>
  <si>
    <t>Указывается сумма расходов на оплату выполняемых сторонними организациями услуг, связанных с осуществлением деятельности по транспортированию твёрдых коммунальных отходов в соответствии с договорами, заключенными региональным оператором с операторами, осуществляющими транспортирование твёрдых коммунальных отходов, при самостоятельном транспортировании твёрдых коммунальных отходов региональным оператором (при их наличии).</t>
  </si>
  <si>
    <t>Чистая прибыль с разбивкой по регулируемым видам деятельности, в том числе:</t>
  </si>
  <si>
    <t>Указывается общая сумма чистой прибыли, полученной от регулируемого вида деятельности.</t>
  </si>
  <si>
    <t>размер расходования чистой прибыли на финансирование мероприятий, предусмотренных инвестиционной программой</t>
  </si>
  <si>
    <t>Изменение стоимости основных фондов, в том числе:</t>
  </si>
  <si>
    <t>Указывается общее изменение стоимости основных фондов.</t>
  </si>
  <si>
    <t>4.1</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</si>
  <si>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</si>
  <si>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(вывода из эксплуатации).</t>
  </si>
  <si>
    <t>4.1.1</t>
  </si>
  <si>
    <t>изменение стоимости основных фондов за счет их ввода в эксплуатацию</t>
  </si>
  <si>
    <t>Указываются изменение стоимости основных фондов за счет их ввода в эксплуатацию.</t>
  </si>
  <si>
    <t>4.1.2</t>
  </si>
  <si>
    <t>изменение стоимости основных фондов за счет их вывода в эксплуатацию</t>
  </si>
  <si>
    <t>Указываются изменение стоимости основных фондов за счет их вывода из эксплуатации.</t>
  </si>
  <si>
    <t>4.1.3</t>
  </si>
  <si>
    <t>изменение стоимости основных фондов за счет их переоценки</t>
  </si>
  <si>
    <t>Указываются изменение стоимости основных фондов за счет их переоценки.</t>
  </si>
  <si>
    <t>-</t>
  </si>
  <si>
    <t>Указывается ссылка на документ, предварительно загруженный в хранилище файлов ФГИС ЕИАС._x000D_
Раскрывается организацией, выручка от регулируемых видов деятельности которой превышает 80 процентов совокупной выручки за отчетный год.</t>
  </si>
  <si>
    <t>Объём принятых твёрдых коммунальных отходов</t>
  </si>
  <si>
    <t>тыс. куб. м_x000D_
в год</t>
  </si>
  <si>
    <t>Указание объема принятых твёрдых коммунальных отходов необязательно при указании массы принятых твёрдых коммунальных отходов.</t>
  </si>
  <si>
    <t>Масса принятых твёрдых коммунальных отходов</t>
  </si>
  <si>
    <t>тонн в год</t>
  </si>
  <si>
    <t>Указание массы принятых твёрдых коммунальных отходов необязательно при указании объёма принятых твёрдых коммунальных отходов.</t>
  </si>
  <si>
    <t>Среднесписочная численность основного персонала</t>
  </si>
  <si>
    <t>Форма 6. Информация об основных показателях финансово-хозяйственной деятельности организации в отношении деятельности по транспортированию твердых коммунальных отходов за отчетный год</t>
  </si>
  <si>
    <t>Выручка от деятельности</t>
  </si>
  <si>
    <t>Указывается выручка от деятельности</t>
  </si>
  <si>
    <t>Себестоимость оказываемых услуг по регулируемому виду деятельности, включая:</t>
  </si>
  <si>
    <t>Указывается суммарная себестоимость</t>
  </si>
  <si>
    <t>расходы на оплату труда и страховые взносы на обязательное социальное страхование, выплачиваемые из фонда оплаты труда</t>
  </si>
  <si>
    <t>Указывается общая сумма расходов на оплату труда и страховых взносов</t>
  </si>
  <si>
    <t xml:space="preserve">расходы на оплату труда </t>
  </si>
  <si>
    <t xml:space="preserve">страховые взносы на обязательное социальное страхование, выплачиваемые из фонда оплаты труда </t>
  </si>
  <si>
    <t>расходы на топливо и горюче-смазочные материалы для транспортных средств, используемых для транспортирования твёрдых коммунальных отходов</t>
  </si>
  <si>
    <t>расходы на сырье и материалы для текущего технического обслуживания транспортных средств, используемых для транспортирования твёрдых коммунальных отходов</t>
  </si>
  <si>
    <t>ремонтные расходы и расходы на техническое обслуживание в отношении транспортных средств, используемых для транспортирования твёрдых коммунальных отходов (за исключением расходов, указанных в пункте 2.3 данной формы)</t>
  </si>
  <si>
    <t>расходы на амортизацию транспортных средств, используемых для транспортирования твёрдых коммунальных отходов</t>
  </si>
  <si>
    <t>расходы на арендную плату и лизинговые платежи в отношении транспортных средств, используемых для транспортирования твёрдых коммунальных отходов</t>
  </si>
  <si>
    <t>административные расходы (за исключением расходов, предусмотренных пунктами 2.1 и 2.8 данной формы)</t>
  </si>
  <si>
    <t>расходы, связанные с оплатой налогов, сборов и других обязательных платежей (в том числе с обязательным страхованием гражданской ответственности владельцев транспортных средств, оснащением и обеспечением функционирования аппаратуры спутниковой навигации ГЛОНАСС или ГЛОНАСС/GPS)</t>
  </si>
  <si>
    <t>прочие расходы</t>
  </si>
  <si>
    <t>Чистая прибыль в отношении деятельности по транспортированию твёрдых коммунальных отходов</t>
  </si>
  <si>
    <t>Изменение стоимости основных фондов (транспортных средств, используемых для транспортирования твёрдых коммунальных отходов), в том числе:</t>
  </si>
  <si>
    <t>Указывается общее изменение стоимости основных фондов за счет их ввода в эксплуатацию (вывода из эксплуатации), переоценки.</t>
  </si>
  <si>
    <t>Указывается изменение стоимости основных фондов за счет их ввода в эксплуатацию.</t>
  </si>
  <si>
    <t>4.2</t>
  </si>
  <si>
    <t>изменение стоимости основных фондов за счет их вывода из эксплуатации</t>
  </si>
  <si>
    <t>Указывается изменение стоимости основных фондов за счет их вывода из эксплуатации.</t>
  </si>
  <si>
    <t>4.3</t>
  </si>
  <si>
    <t>Указывается изменение стоимости основных фондов за счет их переоценки.</t>
  </si>
  <si>
    <t>Указывается ссылка на документ, предварительно загруженный в хранилище файлов ФГИС ЕИАС._x000D_
Раскрывается организацией, выручка от деятельности по транспортированию твёрдых коммунальных отходов которой превышает 80 процентов совокупной выручки за отчетный год.</t>
  </si>
  <si>
    <t>Объём принятых для транспортирования твёрдых коммунальных отходов</t>
  </si>
  <si>
    <t>Масса принятых для транспортирования твёрдых коммунальных отходов</t>
  </si>
  <si>
    <t>&lt;1&gt;</t>
  </si>
  <si>
    <t>В 2023 году операторы по обращению с твёрдыми коммунальными отходами, осуществляющие деятельность по транспортированию твёрдых коммунальных отходов, раскрывают в данной форме информацию, сформированную на дату раскрытия информации.</t>
  </si>
  <si>
    <t>В случае, если оператор по обращению с твёрдыми коммунальными отходами, осуществляющий деятельность по транспортированию твёрдых коммунальных отходов, обеспечивает транспортирование твёрдых коммунальных отходов в разных зонах деятельности регионального оператора, на разных территориях в пределах одной зоны деятельности регионального оператора, то информация раскрывается по каждой зоне деятельности регионального оператора, по каждой территории в пределах зоны деятельности регионального оператора.</t>
  </si>
  <si>
    <t>Информация, подлежащая раскрытию</t>
  </si>
  <si>
    <t>HEAT</t>
  </si>
  <si>
    <t>Количество аварий на тепловых сетях</t>
  </si>
  <si>
    <t>ед. на км</t>
  </si>
  <si>
    <t>Указывается количество любых нарушений на тепловых сетях в расчете на один километр трубопровода.</t>
  </si>
  <si>
    <t>Количество аварий на источниках тепловой энергии</t>
  </si>
  <si>
    <t>ед. на источник</t>
  </si>
  <si>
    <t>Указывается количество любых нарушений на источниках тепловой энергии</t>
  </si>
  <si>
    <t>Сведения о несоблюдении значений параметров качества теплоснабжения и (или) параметров, отражающих допустимые перерывы в теплоснабжении</t>
  </si>
  <si>
    <t>Информация в данной строке раскрывается только единой теплоснабжающей организацией в ценовых зонах теплоснабжения (обобщенная информация о количестве составленных актов, подтверждающих факт превышения разрешенных отклонений значений параметров, о средней продолжительности устранения превышения разрешенных отклонений значений параметров, о совокупной величине снижения размера платы за тепловую энергию (мощность) потребителям в связи с превышением разрешенных отклонений значений параметров)</t>
  </si>
  <si>
    <t>количество составленных актов, подтверждающих факт превышения разрешенных отклонений значений параметров</t>
  </si>
  <si>
    <t>шт.</t>
  </si>
  <si>
    <t>средняя продолжительность устранения превышения разрешенных отклонений значений параметров</t>
  </si>
  <si>
    <t>дн.</t>
  </si>
  <si>
    <t>совокупная величина снижения размера платы за тепловую энергию (мощность) потребителям в связи с превышением разрешенных отклонений значений параметров</t>
  </si>
  <si>
    <t>Показатели надежности и энергетической эффективности,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</si>
  <si>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предварительно загруженный в хранилище данных ФГИС ЕИАС._x000D_
В случае, если показатели не утверждены в колонке «Информация» указывается «Не утверждены»._x000D_
Информация в данной строке не раскрывается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t>
  </si>
  <si>
    <t>Плановые показатели надежности объектов теплоснабжения</t>
  </si>
  <si>
    <t>количество прекращений подачи тепловой энергии, теплоносителя в результате технологических нарушений на тепловых сетях на 1 км тепловых сетей</t>
  </si>
  <si>
    <t>ед.в год/км</t>
  </si>
  <si>
    <t>количество прекращений подачи тепловой энергии, теплоносителя в результате технологических нарушений на источниках тепловой энергии на 1 Гкал/час установленной мощности</t>
  </si>
  <si>
    <t xml:space="preserve"> ед.в год/Гкал/час</t>
  </si>
  <si>
    <t xml:space="preserve">Плановые показатели энергетической эффективности объектов теплоснабжения </t>
  </si>
  <si>
    <t>4.2.1</t>
  </si>
  <si>
    <t>удельный расход топлива на производство единицы тепловой энергии, отпускаемой с коллекторов источников тепловой энергии</t>
  </si>
  <si>
    <t>т.у.т./Гкал</t>
  </si>
  <si>
    <t>4.2.2</t>
  </si>
  <si>
    <t>отношение величины технологических потерь к материальной характеристике тепловой сети</t>
  </si>
  <si>
    <t>4.2.1.1</t>
  </si>
  <si>
    <t>при передаче тепловой энергии</t>
  </si>
  <si>
    <t>Гкал/кв.м</t>
  </si>
  <si>
    <t>4.2.1.2</t>
  </si>
  <si>
    <t>при передаче теплоносителя</t>
  </si>
  <si>
    <t>тонн/кв.м</t>
  </si>
  <si>
    <t>4.2.3</t>
  </si>
  <si>
    <t>величина технологических потерь</t>
  </si>
  <si>
    <t>4.2.3.1</t>
  </si>
  <si>
    <t>Гкал/год</t>
  </si>
  <si>
    <t>4.2.3.2</t>
  </si>
  <si>
    <t>при передаче теплоносителя по тепловым сетям</t>
  </si>
  <si>
    <t>тонн/год</t>
  </si>
  <si>
    <t>Доля исполненных в срок договоров о подключении (технологическом присоединении) к системе теплоснабжения</t>
  </si>
  <si>
    <t>Указывается процент от общего количества заключенных договоров о подключении (технологическом присоединении) к системе теплоснабжения._x000D_
_x000D_
Единой теплоснабжающей организацией указывается доля числа исполненных в срок договоров о подключении (технологическом присоединении) к системе теплоснабжения в зоне ее деятельности в ценовых зонах теплоснабжения (процентов общего количества заключенных договоров о подключении (технологическом присоединении) к системе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</si>
  <si>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Средняя продолжительность рассмотрения заявок на заключение договоров о подключении (технологическом присоединении) к системе теплоснабжения</t>
  </si>
  <si>
    <t>Единой теплоснабжающей организацией информация раскрывается в зоне ее деятельности в ценовых зонах теплоснабжения_x000D_
Информация в данной строке не раскрывается теплоснабжающей организацией в ценовых зонах теплоснабжения и теплосетевой организацией в ценовых зонах теплоснабжения.</t>
  </si>
  <si>
    <t xml:space="preserve">Едиными теплоснабжающими организациями, теплоснабжающими и теплосетевыми организациями в ценовых зонах теплоснабжения указывается информация об основных потребительских </t>
  </si>
  <si>
    <t>характеристиках товаров и услуг, поставляемых и оказываемых этими организациями в ценовых зонах теплоснабжения.</t>
  </si>
  <si>
    <t>COLDVSNA</t>
  </si>
  <si>
    <t>Количество аварий на системах холодного водоснабжения</t>
  </si>
  <si>
    <t>Указывается количество любых нарушений функционирования системы холодного водоснабжения в расчете на один километр трубопровода.</t>
  </si>
  <si>
    <t>Количество случаев временного ограничения холодного водоснабжения по графику</t>
  </si>
  <si>
    <t>количество случаев ограничения холодного водоснабжения по графику для ограничений сроком менее 24 часов в сутки</t>
  </si>
  <si>
    <t>ед.</t>
  </si>
  <si>
    <t>Указывается суммарное количество ограничения холодного водоснабжения по графику в течение отчетного периода. В расчет принимаются ограничения сроком менее 24 часов каждое.</t>
  </si>
  <si>
    <t>срок действия ограничений холодного водоснабжения по графику для ограничений сроком менее 24 часов в сутки</t>
  </si>
  <si>
    <t>ч</t>
  </si>
  <si>
    <t>Указывается сумма времени ограничения холодного водоснабжения по графику в течение отчетного периода. В расчет принимаются ограничения сроком менее 24 часов каждое.</t>
  </si>
  <si>
    <t>Доля потребителей, в отношении которых ограничено холодное водоснабжение:</t>
  </si>
  <si>
    <t>доля потребителей, в отношении которых ограничено холодное водоснабжение сроком менее 24 часов в сутки</t>
  </si>
  <si>
    <t>Указывается отношение количества потребителей, затронутых как минимум одним ограничением подачи холодной воды по графику длительностью менее 24 часа в течение отчетного периода, и суммарного количества обслуживаемых потребителей.</t>
  </si>
  <si>
    <t>доля потребителей, в отношении которых ограничено холодное водоснабжение сроком 24 часа в сутки и более</t>
  </si>
  <si>
    <t>Указывается отношение количества потребителей, затронутых как минимум одним ограничением подачи холодной воды по графику длительностью 24 часа и более в течение отчетного периода, и суммарного количества обслуживаемых потребителей.</t>
  </si>
  <si>
    <t>Общее количество отобранных проб питьевой воды по следующим показателям</t>
  </si>
  <si>
    <t>мутность</t>
  </si>
  <si>
    <t>цветность</t>
  </si>
  <si>
    <t>хлор остаточный общий, в том числе:</t>
  </si>
  <si>
    <t>4.3.1</t>
  </si>
  <si>
    <t>хлор остаточный связанный</t>
  </si>
  <si>
    <t>4.3.2</t>
  </si>
  <si>
    <t>хлор остаточный свободный</t>
  </si>
  <si>
    <t>4.4</t>
  </si>
  <si>
    <t>общие колиформные бактерии</t>
  </si>
  <si>
    <t>4.5</t>
  </si>
  <si>
    <t>термотолерантные колиформные бактерии</t>
  </si>
  <si>
    <t>Количество отобранных проб питьевой воды, показатели которых не соответствуют нормативам качества питьевой воды в соответствии с санитарно-эпидемиологическими требованиями к питьевой воде (предельно допустимой концентрации в воде) по следующим показателям:</t>
  </si>
  <si>
    <t>5.2</t>
  </si>
  <si>
    <t>5.3</t>
  </si>
  <si>
    <t>5.3.1</t>
  </si>
  <si>
    <t>5.3.2</t>
  </si>
  <si>
    <t>5.4</t>
  </si>
  <si>
    <t>5.5</t>
  </si>
  <si>
    <t>Доля исполненных в срок договоров о подключении (технологическом присоединении) к централизованной системе холодного водоснабжения</t>
  </si>
  <si>
    <t>Указывается процент общего количества заключенных договоров о подключении (технологическом присоединении) к централизованной системе холодного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</si>
  <si>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холодного водоснабжения</t>
  </si>
  <si>
    <t>О результатах технического обследования централизованных систем холодного водоснабжения, в том числе:</t>
  </si>
  <si>
    <t>8.1</t>
  </si>
  <si>
    <t>о фактических значениях показателей технико-экономического состояния централизованных систем холодного водоснабжения, включая значения показателей физического износа и энергетической эффективности объектов централизованных систем холодного водоснабжения.</t>
  </si>
  <si>
    <t>HOTVSNA</t>
  </si>
  <si>
    <t>Количество аварий на системах горячего водоснабжения</t>
  </si>
  <si>
    <t>Указывается количество нарушений функционирования системы горячего водоснабжения в расчете на один километр трубопровода.</t>
  </si>
  <si>
    <t>Количество часов (суммарно за календарный год), превышающих установленную продолжительность временного прекращения или ограничения горячего водоснабжения, и доля потребителей (процентов), в отношении которых было осуществлено временное прекращение или ограничение горячего водоснабжения</t>
  </si>
  <si>
    <t>количество часов (суммарно за календарный год), превышающих установленную продолжительность временного прекращения горячего водоснабжения</t>
  </si>
  <si>
    <t>количество часов (суммарно за календарный год), превышающих установленную продолжительность ограничения горячего водоснабжения</t>
  </si>
  <si>
    <t>доля потребителей, в отношении которых было осуществлено временное прекращение горячего водоснабжения</t>
  </si>
  <si>
    <t>доля потребителей, в отношении которых было осуществлено ограничение горячего водоснабжения</t>
  </si>
  <si>
    <t>Количество часов (суммарно за календарный год) отклонения показателей температуры подачи горячей воды от нормативных значений в точке разбора</t>
  </si>
  <si>
    <t>Доля исполненных в срок договоров о подключении (технологическом присоединении) к централизованной системе горячего водоснабжения (процентов общего количества заключенных договоров о подключении (технологическом присоединении) к централизованной системе горячего водоснабжения)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</si>
  <si>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горячего водоснабжения</t>
  </si>
  <si>
    <t>О результатах технического обследования централизованных систем горячего водоснабжения, в том числе:</t>
  </si>
  <si>
    <t>о фактических значениях показателей технико-экономического состояния централизованных систем горячего водоснабжения, включая значения показателей физического износа и энергетической эффективности объектов централизованных систем горячего водоснабжения</t>
  </si>
  <si>
    <t>VOTV</t>
  </si>
  <si>
    <t>Показатели аварийности на канализационных сетях</t>
  </si>
  <si>
    <t>Указывается количество любых нарушений на канализационных сетях.</t>
  </si>
  <si>
    <t>Количество засоров на самотечных сетях</t>
  </si>
  <si>
    <t>Указывается количество засоров на самотечных сетях.</t>
  </si>
  <si>
    <t>Общее количество отобранных проб на сбросе очищенных (частично очищенных) сточных вод:</t>
  </si>
  <si>
    <t>Указывается суммарное количество проведенных проб на сбросе очищенных вод.</t>
  </si>
  <si>
    <t>взвешенные вещества</t>
  </si>
  <si>
    <t>БПК5</t>
  </si>
  <si>
    <t>аммоний-ион</t>
  </si>
  <si>
    <t>нитрит-анион</t>
  </si>
  <si>
    <t>3.5</t>
  </si>
  <si>
    <t>фосфаты (по Р)</t>
  </si>
  <si>
    <t>3.6</t>
  </si>
  <si>
    <t>нефтепродукты</t>
  </si>
  <si>
    <t>3.7</t>
  </si>
  <si>
    <t>микробиология</t>
  </si>
  <si>
    <t>Количество отобранных проб, показатели которых не соответствуют установленным нормативам состава сточных вод (предельно допустимой концентрации веществ и микроорганизмов) на сбросе очищенных (частично очищенных) сточных вод:</t>
  </si>
  <si>
    <t>Указывается суммарное количество отобранных проб, выявивших несоответствие очищенных сточных вод санитарным нормам (предельно допустимой концентрации) на сбросе очищенных (частично очищенных) сточных вод.</t>
  </si>
  <si>
    <t>4.6</t>
  </si>
  <si>
    <t>4.7</t>
  </si>
  <si>
    <t>Доля исполненных в срок договоров о подключении (технологическом присоединении) к централизованной системе водоотведения</t>
  </si>
  <si>
    <t>Указывается процент от общего количества заключенных договоров о подключении (технологическом присоединении) к централизованной системе водоотведения</t>
  </si>
  <si>
    <t>Средняя продолжительность рассмотрения заявлений о заключении договоров о подключении (технологическом присоединении) к централизованной системе водоотведения</t>
  </si>
  <si>
    <t>О результатах технического обследования централизованных систем водоотведения, в том числе:</t>
  </si>
  <si>
    <t>7.1</t>
  </si>
  <si>
    <t>о фактических значениях показателей технико-экономического состояния централизованных систем водоотведения, включая значения показателей физического износа и энергетической эффективности объектов централизованных систем водоотведения</t>
  </si>
  <si>
    <t>О  нормативах допустимых сбросов загрязняющих веществ в составе сточных вод в водные объекты,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 (о лимитах на сбросы загрязняющих веществ, установленных для объектов централизованных систем водоотведения, эксплуатируемых организацией водоотведения, в соответствии с законодательством Российской Федерации об охране окружающей среды</t>
  </si>
  <si>
    <t>О показателях эффективности удаления загрязняющих веществ очистными сооружениями регулируемых организаций</t>
  </si>
  <si>
    <t>Наименование выведенного источника тепловой энергии</t>
  </si>
  <si>
    <t>В случае вывода из эксплуатации нескольких источников тепловой энергии информация по каждому из них указывается в отдельно.</t>
  </si>
  <si>
    <t>Дата вывода</t>
  </si>
  <si>
    <t>Дата вывода указывается в виде «ДД.ММ.ГГГГ».</t>
  </si>
  <si>
    <t>Наименование тепловой сети</t>
  </si>
  <si>
    <t>В случае вывода из эксплуатации нескольких тепловых сетей информация по каждой из них указывается в отдельно.</t>
  </si>
  <si>
    <t>Описание ограничения подачи тепловой энергии потребителям</t>
  </si>
  <si>
    <t>Дата начала ограничения</t>
  </si>
  <si>
    <t>Дата начала ограничения указывается в виде «ДД.ММ.ГГГГ».</t>
  </si>
  <si>
    <t>Дата завершения ограничения</t>
  </si>
  <si>
    <t>Дата завершения ограничения указывается в виде «ДД.ММ.ГГГГ».</t>
  </si>
  <si>
    <t>Описание прекращения режима потребления</t>
  </si>
  <si>
    <t>В колонке «Ссылка на документ» указывается материал в виде ссылки на документ, обосновывающий прекращение подачи тепловой энергии потребителям, предварительно загруженный в хранилище данных ФГИС ЕИАС.</t>
  </si>
  <si>
    <t>Дата прекращения</t>
  </si>
  <si>
    <t>Дата прекращения указывается в виде «ДД.ММ.ГГГГ».</t>
  </si>
  <si>
    <t>1.0</t>
  </si>
  <si>
    <t>Сведения о выводе источников тепловой энергии из эксплуатации</t>
  </si>
  <si>
    <t>Сведения о выводе тепловых сетей из эксплуатации</t>
  </si>
  <si>
    <t>Добавить тепловую сеть</t>
  </si>
  <si>
    <t>3.0</t>
  </si>
  <si>
    <t>Сведения об основаниях ограничения подачи тепловой энергии</t>
  </si>
  <si>
    <t>Осуществлялось</t>
  </si>
  <si>
    <t>В случае, если ограничения подачи тепловой энергии тепловой энергии не происходили, в колонке «Информация» указывается «Не осуществлялось»._x000D_
Указывается информация о случаях ограничения подачи тепловой энергии потребителям в случаях, предусмотренных законодательством в сфере теплоснабжения._x000D_
В неоднократных ограничений подачи потребления тепловой энергии потребителями информация по каждому случаю указывается отдельно.</t>
  </si>
  <si>
    <t>Добавить ограничение подачи ТЭ</t>
  </si>
  <si>
    <t>4.0</t>
  </si>
  <si>
    <t>Сведения об основаниях прекращения подачи тепловой энергии потребителям</t>
  </si>
  <si>
    <t>В случае, если прекращения подачи тепловой энергии потребителям не происходили, в колонке «Информация» указывается «Не осуществлялось»._x000D_
Указывается информация о случаях прекращения подачи тепловой энергии потребителям, предусмотренных законодательством в сфере теплоснабжения._x000D_
В случае нескольких прекращений подачи тепловой энергии потребителям информация по каждому случаю указывается отдельно.</t>
  </si>
  <si>
    <t>Добавить прекращение подачи ТЭ</t>
  </si>
  <si>
    <t>Наименование ИП</t>
  </si>
  <si>
    <t>Инвестиционная программа разбивается по мероприятиям и (или) группам мероприятий</t>
  </si>
  <si>
    <t>Дата утверждения инвестиционной программы</t>
  </si>
  <si>
    <t>Дата изменения инвестиционной программы</t>
  </si>
  <si>
    <t>Цель инвестиционной программы</t>
  </si>
  <si>
    <t>Наименование исполнительного органа субъекта Российской Федерации (органа местного самоуправления), утвердившего инвестиционную программу</t>
  </si>
  <si>
    <t>Наименование органа местного самоуправления, согласовавшего инвестиционную программу</t>
  </si>
  <si>
    <t>Период реализации инвестиционной программы</t>
  </si>
  <si>
    <t>Решение уполномоченного органа об утверждении инвестиционной программы</t>
  </si>
  <si>
    <t>Решение уполномоченного органа о внесении изменений, корректировке инвестиционной программы</t>
  </si>
  <si>
    <t>О наличии в инвестиционной программе мероприятий, включенных в концессионное(-ые) соглашение(-я)</t>
  </si>
  <si>
    <t>Дата начала</t>
  </si>
  <si>
    <t>Дата окончания</t>
  </si>
  <si>
    <t>Период реализации</t>
  </si>
  <si>
    <t>Вид</t>
  </si>
  <si>
    <t>Номер</t>
  </si>
  <si>
    <t>Дата принятия</t>
  </si>
  <si>
    <t>Тип</t>
  </si>
  <si>
    <t>Наличие</t>
  </si>
  <si>
    <t>Реквизиты концессионного(-ых) соглашения(-ий)</t>
  </si>
  <si>
    <t>ip_1</t>
  </si>
  <si>
    <t>Добавить инвестиционную программу</t>
  </si>
  <si>
    <t>Год реализации инвестиционной программы</t>
  </si>
  <si>
    <t>№ п/п_x000D_
мероприятия</t>
  </si>
  <si>
    <t>Группа, к которой относятся мероприятия инвестиционной программы</t>
  </si>
  <si>
    <t>Мероприятие</t>
  </si>
  <si>
    <t>№ источника</t>
  </si>
  <si>
    <t>О плановых и фактических размерах и источниках финансирования предусмотренных в утвержденной инвестиционной программе с распределением по годам</t>
  </si>
  <si>
    <t>Плановый срок реализации мероприятия и (или) группы мероприятий с распределением по годам</t>
  </si>
  <si>
    <t>Плановый срок ввода в эксплуатацию/выполнения мероприятия и (или) группы мероприятий</t>
  </si>
  <si>
    <t>Фактический срок реализации мероприятия и (или) группы мероприятий с распределением по годам</t>
  </si>
  <si>
    <t>Фактический срок ввода в эксплуатацию/выполнения мероприятия и (или) группы мероприятий</t>
  </si>
  <si>
    <t>Наименование мероприятия</t>
  </si>
  <si>
    <t>Входит в концессионное соглашение</t>
  </si>
  <si>
    <t>Объект инфраструктуры</t>
  </si>
  <si>
    <t>Признак</t>
  </si>
  <si>
    <t>Номер концессионного соглашения</t>
  </si>
  <si>
    <t>№ объекта</t>
  </si>
  <si>
    <t>Наименование объекта</t>
  </si>
  <si>
    <t>Тип объекта</t>
  </si>
  <si>
    <t>Адрес объекта</t>
  </si>
  <si>
    <t>План</t>
  </si>
  <si>
    <t>Факт</t>
  </si>
  <si>
    <t>в том числе</t>
  </si>
  <si>
    <t>Населенный пункт</t>
  </si>
  <si>
    <t>улица, проезд, проспект, переулок, и т.п.</t>
  </si>
  <si>
    <t>дом, корпус, строение</t>
  </si>
  <si>
    <t>Источник финансирования</t>
  </si>
  <si>
    <t>Размер финансирования</t>
  </si>
  <si>
    <t>месяц</t>
  </si>
  <si>
    <t>год</t>
  </si>
  <si>
    <r>
      <rPr>
        <vertAlign val="superscript"/>
        <sz val="9"/>
        <rFont val="Tahoma"/>
        <family val="2"/>
        <charset val="204"/>
      </rPr>
      <t>1</t>
    </r>
    <r>
      <rPr>
        <sz val="9"/>
        <rFont val="Tahoma"/>
        <family val="2"/>
        <charset val="204"/>
      </rPr>
      <t xml:space="preserve"> В соответствии с утвержденной инвестиционной программой</t>
    </r>
  </si>
  <si>
    <t>Источники финансирования</t>
  </si>
  <si>
    <t>Объем фактического выполнения за счет источников финансирования (тыс. руб. без НДС)</t>
  </si>
  <si>
    <t>Всего</t>
  </si>
  <si>
    <t>I</t>
  </si>
  <si>
    <t>Расходы на мероприятия инвестиционной программы</t>
  </si>
  <si>
    <t>Собственные средства</t>
  </si>
  <si>
    <t>1.1</t>
  </si>
  <si>
    <t>Амортизационные отчисления за исключением переоценки основных средств и нематериальных активов</t>
  </si>
  <si>
    <t>1.2</t>
  </si>
  <si>
    <t>Амортизационные отчисления в результате переоценки основных средств и нематериальных активов</t>
  </si>
  <si>
    <t>1.3</t>
  </si>
  <si>
    <t>Капитальные вложения (инвестиции), финансируемые за счет нормативной прибыли, учитываемой в необходимой валовой выручке</t>
  </si>
  <si>
    <t>1.4</t>
  </si>
  <si>
    <t>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</si>
  <si>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1.5</t>
  </si>
  <si>
    <t>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</si>
  <si>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1.6</t>
  </si>
  <si>
    <t>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</si>
  <si>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1.7</t>
  </si>
  <si>
    <t>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</si>
  <si>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1.8</t>
  </si>
  <si>
    <t>Экономия средств, достигнутая регулируемой организацией в результате снижения расходов</t>
  </si>
  <si>
    <t>1.9</t>
  </si>
  <si>
    <t>Средства, полученные за счет платы за подключение (технологическое присоединение)</t>
  </si>
  <si>
    <t>1.10</t>
  </si>
  <si>
    <t>Средства, полученные регулируемой организацией в виде платы за сброс загрязняющих веществ сверх установленных нормативов состава сточных вод</t>
  </si>
  <si>
    <t>1.11</t>
  </si>
  <si>
    <t>Средства, полученные регулируемой организацией в виде платы за негативное воздействие на работу централизованной системы водоотведения</t>
  </si>
  <si>
    <t>1.12</t>
  </si>
  <si>
    <t>Прочие собственные средства</t>
  </si>
  <si>
    <t>Привлеченные средства</t>
  </si>
  <si>
    <t>Займы</t>
  </si>
  <si>
    <t>Кредиты</t>
  </si>
  <si>
    <t>Прочие привлеченные средства</t>
  </si>
  <si>
    <t>Бюджетное финансирование</t>
  </si>
  <si>
    <t>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</si>
  <si>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Иные бюджетные средства.</t>
  </si>
  <si>
    <t>Прочие источники финансирования</t>
  </si>
  <si>
    <t>ИТОГО по программе</t>
  </si>
  <si>
    <t>II</t>
  </si>
  <si>
    <t>Средства на возврат займов и кредитов, привлекаемых на реализацию мероприятий инвестиционной программы, а также на проценты по таким займам и кредитам*</t>
  </si>
  <si>
    <t>Cредства на возврат займов и кредитов, привлекаемых на реализацию мероприятий инвестиционной программ</t>
  </si>
  <si>
    <t>1.1.1</t>
  </si>
  <si>
    <t>Финансируемые за счет нормативной прибыли, учитываемой в необходимой валовой выручке</t>
  </si>
  <si>
    <t>1.1.2</t>
  </si>
  <si>
    <t>Амортизационные отчисления</t>
  </si>
  <si>
    <t>1.1.3</t>
  </si>
  <si>
    <t>Иные собственные средства</t>
  </si>
  <si>
    <t>1.1.4</t>
  </si>
  <si>
    <t>Средства, полученные регулируемой организацией в виде платы за негативное воздействие абонентов на работу централизованной системы водоотведения</t>
  </si>
  <si>
    <t>1.2.1</t>
  </si>
  <si>
    <t>1.2.2</t>
  </si>
  <si>
    <t xml:space="preserve">Прочие источники </t>
  </si>
  <si>
    <t>Cредства на проценты по займам и кредитам, привлекаемым на реализацию мероприятий инвестиционной программ</t>
  </si>
  <si>
    <t>2.1.3</t>
  </si>
  <si>
    <t>2.1.4</t>
  </si>
  <si>
    <t>WARM FEATURES</t>
  </si>
  <si>
    <t>OTKO FEATURES</t>
  </si>
  <si>
    <t>Цель(-и) ИП</t>
  </si>
  <si>
    <t>Способ утверждения показателей</t>
  </si>
  <si>
    <t>Описание способа утверждения показателей</t>
  </si>
  <si>
    <t>Показатели качества, надежности и бесперебойности, энергетической эффективности</t>
  </si>
  <si>
    <t>Показатели надежности</t>
  </si>
  <si>
    <t xml:space="preserve">Показатели энергетической эффективности </t>
  </si>
  <si>
    <t>Показатели качества питьевой воды</t>
  </si>
  <si>
    <t>Показатели качества горячей воды</t>
  </si>
  <si>
    <t>Показатели надежности и бесперебойности</t>
  </si>
  <si>
    <t>Показатели энергетической эффективности</t>
  </si>
  <si>
    <t>Показатели очистки сточных вод</t>
  </si>
  <si>
    <t>Показатель надежности и бесперебойности</t>
  </si>
  <si>
    <t>Количество прекращений подачи тепловой энергии, теплоносителя в результате технологических нарушений</t>
  </si>
  <si>
    <t>удельный расход топлива на производство единицы тепловой энергии</t>
  </si>
  <si>
    <t>Отношение величины технологических потерь к материальной характеристике тепловой сети</t>
  </si>
  <si>
    <t>Величина технологических потерь</t>
  </si>
  <si>
    <t>Доля проб питьевой воды, подаваемой с источников водоснабжения, водопроводных станций или иных объектов централизованной системы водоснабжения в распределительную водопроводную сеть,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</si>
  <si>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питьевой воды в распределительной водопроводной сети, не соответствующих установленным требованиям, в общем объёме проб, отобранных по результатам производственного контроля качества питьевой воды</t>
  </si>
  <si>
    <t>Доля проб горячей воды в тепловой сети или в сети горячего водоснабжения, не соответствующих установленным требованиям по температуре, в общем объёме проб, отобранных по результатам производственного контроля качества горячей воды</t>
  </si>
  <si>
    <t>Доля проб горячей воды в тепловой сети или в сети горячего водоснабжения, не соответствующих установленным требованиям (за исключением температуры), в общем объёме проб, отобранных по результатам производственного контроля качества горячей воды</t>
  </si>
  <si>
    <t xml:space="preserve"> Количество перерывов в подаче воды, зафиксированных в местах исполнения обязательств организацией, осуществляющей горячее водоснабжение, холодное водоснабжение, по подаче горячей воды, холодной воды, возникших в результате аварий, повреждений и иных технологических нарушений на объектах централизованной системы холодного водоснабжения, горячего водоснабжения, принадлежащих организации, осуществляющей горячее водоснабжение, холодное водоснабжение, в расчете на протяженность водопроводной сети</t>
  </si>
  <si>
    <t>Доля потерь воды в централизованных системах водоснабжения при транспортировке в общем объёме воды, поданной в водопроводную сеть</t>
  </si>
  <si>
    <t>Удельное количество тепловой энергии, расходуемое на подогрев горячей воды</t>
  </si>
  <si>
    <t>Удельный расход электрической энергии, потребляемой в технологическом процессе</t>
  </si>
  <si>
    <t>доля сточных вод, не подвергающихся очистке, в общем объёме сточных вод, сбрасываемых в централизованные общесплавные или бытовые системы водоотведения</t>
  </si>
  <si>
    <t xml:space="preserve"> доля поверхностных сточных вод, не подвергающихся очистке, в общем объёме поверхностных сточных вод, принимаемых в централизованную ливневую систему водоотведения</t>
  </si>
  <si>
    <t>доля проб сточных вод, не соответствующих установленным нормативам допустимых сбросов, лимитам на сбросы, рассчитанная применительно к видам централизованных систем водоотведения раздельно для централизованной общесплавной (бытовой) и централизованной ливневой систем водоотведения</t>
  </si>
  <si>
    <t>Удельное количество аварий и засоров в расчете на протяженность канализационной сети</t>
  </si>
  <si>
    <t>Удельный расход электрической энергии, потребляемой в технологическом процессе для:</t>
  </si>
  <si>
    <t>на тепловых сетях на 1 км тепловых сетей</t>
  </si>
  <si>
    <t>на источниках тепловой энергии на 1 Гкал/час установленной мощности</t>
  </si>
  <si>
    <t xml:space="preserve">подготовки питьевой воды, на единицу объёма воды, отпускаемой в сеть_x000D_
</t>
  </si>
  <si>
    <t xml:space="preserve">транспортировки питьевой воды, на единицу объёма транспортируемой воды_x000D_
</t>
  </si>
  <si>
    <t>очистки сточных вод, на единицу объёма очищаемых сточных вод</t>
  </si>
  <si>
    <t>транспортировки сточных вод, на единицу объёма транспортируемых сточных вод</t>
  </si>
  <si>
    <t>ед. в год/км</t>
  </si>
  <si>
    <t>Гкал/куб. м</t>
  </si>
  <si>
    <t>кВт*ч/куб. м</t>
  </si>
  <si>
    <t>кВт*ч/куб.м</t>
  </si>
  <si>
    <t>план</t>
  </si>
  <si>
    <t>факт</t>
  </si>
  <si>
    <t>ед</t>
  </si>
  <si>
    <t>5.0</t>
  </si>
  <si>
    <t>Добавить систему</t>
  </si>
  <si>
    <t>Добавить описание формы публичного договора</t>
  </si>
  <si>
    <t>Добавить описание договора</t>
  </si>
  <si>
    <t>сведения о договорах, заключенных в соответствии с частями 2.1 и 2.2 статьи 8 Федерального закона "О теплоснабжении"</t>
  </si>
  <si>
    <t>Статья 8 ФЗ 190-ФЗ_x000D_
2.1. Соглашением сторон договора теплоснабжения и (или) договора поставки тепловой энергии (мощности) и (или) теплоносителя, но не выше цен (тарифов) на соответствующие товары в сфере теплоснабжения, установленных органом регулирования в соответствии с основами ценообразования в сфере теплоснабжения и правилами регулирования цен (тарифов) в сфере теплоснабжения, утвержденными Правительством Российской Федерации, определяются следующие виды цен на товары в сфере теплоснабжения, за исключением тепловой энергии (мощности) и (или) теплоносителя, реализация которых необходима для оказания коммунальных услуг по отоплению и горячему водоснабжению населению и приравненным к нему категориям потребителей:_x000D_
1) цены на тепловую энергию (мощность), производимую и (или) поставляемую с использованием теплоносителя в виде пара теплоснабжающими организациями потребителям, другим теплоснабжающим организациям;_x000D_
2) цены на теплоноситель в виде пара, поставляемый теплоснабжающими организациями потребителям, другим теплоснабжающим организациям;_x000D_
3) цены на тепловую энергию (мощность), теплоноситель, поставляемые теплоснабжающей организацией, владеющей на праве собственности или ином законном основании источником тепловой энергии, потребителю, теплопотребляющие установки которого технологически соединены с этим источником тепловой энергии непосредственно или через тепловую сеть, принадлежащую на праве собственности и (или) ином законном основании указанной теплоснабжающей организации или указанному потребителю, если такие теплопотребляющие установки и такая тепловая сеть не имеют иного технологического соединения с системой теплоснабжения и к тепловым сетям указанного потребителя не присоединены теплопотребляющие установки иных потребителей._x000D_
(часть 2.1 введена Федеральным законом от 01.12.2014 № 404-ФЗ)_x000D_
2.2. С 1 января 2018 года цены, указанные в части 2.1 настоящей статьи, не подлежат регулированию и определяются соглашением сторон договора теплоснабжения и (или) договора поставки тепловой энергии (мощности) и (или) теплоносителя, за исключением случаев:_x000D_
1) реализации тепловой энергии (мощности) и (или) теплоносителя, необходимых для оказания коммунальных услуг по отоплению и горячему водоснабжению населению и приравненным к нему категориям потребителей;_x000D_
2) производства тепловой энергии (мощности), теплоносителя с использованием источника тепловой энергии, установленная мощность которого составляет менее десяти гигакалорий в час, и (или) осуществления поставки теплоснабжающей организацией потребителю тепловой энергии в объеме менее пятидесяти тысяч гигакалорий за 2017 год.</t>
  </si>
  <si>
    <t>Прочие договора</t>
  </si>
  <si>
    <t>Сведения об условиях договоров на оказание услуг по транспортированию твердых коммунальных отходов</t>
  </si>
  <si>
    <t xml:space="preserve"> Форма договора на оказание услуг</t>
  </si>
  <si>
    <t>Указывается форма договора, используемая организацией, в виде ссылки на документ, предварительно загруженный в хранилище файлов ФГИС ЕИАС, либо ссылка на официальный сайт в сети "Интернет", на котором размещена информация._x000D_
В случае наличия нескольких форм таких договоров информация по каждой из них указывается в отдельной строке.</t>
  </si>
  <si>
    <t>Добавить описание формы договора</t>
  </si>
  <si>
    <t>наименование НПА</t>
  </si>
  <si>
    <t>контактный телефон службы</t>
  </si>
  <si>
    <t>адрес службы</t>
  </si>
  <si>
    <t>график работы службы</t>
  </si>
  <si>
    <t>c 01:03 до 18:55</t>
  </si>
  <si>
    <t>Информация о размещении данных на сайте регулируемой организации</t>
  </si>
  <si>
    <t>дата размещения информации</t>
  </si>
  <si>
    <t>Дата размещения информации указывается в виде «ДД.ММ.ГГГГ».</t>
  </si>
  <si>
    <t>адрес страницы сайта в сети «Интернет» и ссылка на документ</t>
  </si>
  <si>
    <t>В колонке «Информация» указывается адрес страницы сайта в сети «Интернет», на которой размещена информация._x000D_
В колонке «Ссылка на документ» указывается ссылка на скриншот страницы сайта в сети «Интернет», предварительно загруженный в хранилище файлов ФГИС ЕИАС, на которой размещена информация.</t>
  </si>
  <si>
    <t xml:space="preserve">Указывается ссылка на документ, предварительно загруженный в хранилище файлов ФГИС ЕИАС._x000D_
В случае наличия дополнительных сведений информация по ним указывается в отдельных строках._x000D_
</t>
  </si>
  <si>
    <t>В колонке «Информация» указывается полное наименование и реквизиты НПА._x000D_
В случае наличия нескольких НПА каждое из них указывается в отдельной строке.</t>
  </si>
  <si>
    <t>5.1.1</t>
  </si>
  <si>
    <t>Указывается номер контактного телефона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номеров телефонов, информация по каждому из них указывается в отдельной строке.</t>
  </si>
  <si>
    <t>5.2.1</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</si>
  <si>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 Данные указываются согласно наименованиям адресных объектов в ФИАС._x000D_
В случае наличия нескольких служб и (или) адресов, информация по каждому из них указывается в отдельной строке.</t>
  </si>
  <si>
    <t>Указывается график работы службы, ответственной за прием и обработку заявок о подключении к централизованной системе теплоснабжения. _x000D_
В случае наличия нескольких служб и (или) графиков работы, информация по каждому из них указывается в отдельной строке.</t>
  </si>
  <si>
    <t>p1</t>
  </si>
  <si>
    <t>Добавить период</t>
  </si>
  <si>
    <t>p2</t>
  </si>
  <si>
    <t>Период действия тарифов</t>
  </si>
  <si>
    <t>с</t>
  </si>
  <si>
    <t>по</t>
  </si>
  <si>
    <t>p1_0</t>
  </si>
  <si>
    <t>метод индексации установленных тарифов</t>
  </si>
  <si>
    <t>https://tarif.72to.ru/lk/files/Files/RwGAXB/57caff76-2553-4b9c-8e33-dc3f99814b2b</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</si>
  <si>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</si>
  <si>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</si>
  <si>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p2_0</t>
  </si>
  <si>
    <t>Положение о закупках ТМУП ТТС (в ред. от 12.01.2024 с изм.)</t>
  </si>
  <si>
    <t>https://tarif.72to.ru/lk/files/Files/RwGAXB/eecdfed2-81ad-46d0-af6a-1a8d2fa165ca</t>
  </si>
  <si>
    <t>В колонке «Информация» указывается описательная информация, характеризующая размещаемые данные._x000D_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t>
  </si>
  <si>
    <t>Единая информационная система в сфере закупок</t>
  </si>
  <si>
    <t>http://zakupki.gov.ru/223/plan/public/plan/info/actual-common-info.html?planId=466173&amp;planInfoId=2915123&amp;epz=true&amp;style44=false</t>
  </si>
  <si>
    <t>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t>
  </si>
  <si>
    <t>Показатели надежности и качества, установленные в соответствии с законодательством Российской Федерации</t>
  </si>
  <si>
    <t>В колонке «Ссылка на документ» указывается материал в виде ссылки на документ, содержащий информацию об установленных показателях надежности и качества, предварительно загруженный в хранилище данных ФГИС ЕИАС._x000D_
В случае, если показатели надежности и качества не утверждены в колонке «Информация» указывается «Не утверждены»._x000D_
Информация в данной строке не указывается теплоснабжающими организациями, теплосетевыми организациями в ценовых зонах теплоснабжения.</t>
  </si>
  <si>
    <t>Информация в строках 3.1 – 3.3 указывается в случае, если организация имеет статус единой теплоснабжающей организации в ценовых зонах теплоснабжения.</t>
  </si>
  <si>
    <t>Доля числа исполненных в срок договоров о подключении</t>
  </si>
  <si>
    <t>Указывается процент общего количества заключенных договоров о подключении (технологическом присоединении)._x000D_
Информация в данной строке не указывается теплоснабжающими организациями, теплосетевыми организациями в ценовых зонах теплоснабжения.</t>
  </si>
  <si>
    <t>Средняя продолжительность рассмотрения заявлений о подключении</t>
  </si>
  <si>
    <t>Гкал/час</t>
  </si>
  <si>
    <t>Информация в данной строке не указывается теплоснабжающими организациями, теплосетевыми организациями в ценовых зонах теплоснабжения.</t>
  </si>
  <si>
    <t>REGION</t>
  </si>
  <si>
    <t>year_list1</t>
  </si>
  <si>
    <t>year_list</t>
  </si>
  <si>
    <t>logical</t>
  </si>
  <si>
    <t>Месяц_x000D_
(MONTH)</t>
  </si>
  <si>
    <t>Квартал_x000D_
(QUARTER)</t>
  </si>
  <si>
    <t>Месяц_x000D_
(kind_of_publication)</t>
  </si>
  <si>
    <t>НДС_x000D_
/kind_of_NDS/</t>
  </si>
  <si>
    <t>Номер СЦХВ(СЦВО)_x000D_
/SKI_number/</t>
  </si>
  <si>
    <t>Единица измерения объема оказываемых услуг ГВС_x000D_
/kind_of_unit_GVS/</t>
  </si>
  <si>
    <t>Метод регулирования_x000D_
/kind_of_control_method/</t>
  </si>
  <si>
    <t>Сколько раз встретилось</t>
  </si>
  <si>
    <t>Вид деятельности, на которую установлен тариф /kind_of_activity_WARM/</t>
  </si>
  <si>
    <t>Вид теплоносителя_x000D_
(kind_of_heat_transfer)</t>
  </si>
  <si>
    <t>Тип данных_x000D_
(kind_of_data_type)</t>
  </si>
  <si>
    <t>Схема подключения_x000D_
(kind_of_scheme_in)_x000D_
(kind_of_scheme_in2)</t>
  </si>
  <si>
    <t>Группы потребителей_x000D_
(kind_of_cons)</t>
  </si>
  <si>
    <t>Тип прокладки тепловых сетей_x000D_
(kind_of_nets)</t>
  </si>
  <si>
    <t>Диапазаны диаметров тепловых сетей_x000D_
(kind_of_diameters)</t>
  </si>
  <si>
    <t>Подключаемая тепловая нагрузка_x000D_
(kind_of_load)</t>
  </si>
  <si>
    <t>Форма 2, таблица Х</t>
  </si>
  <si>
    <t>виды тарифа_x000D_
/kind_group_rates/</t>
  </si>
  <si>
    <t>Заголовок таблицы</t>
  </si>
  <si>
    <t>name_rates_4</t>
  </si>
  <si>
    <t>name_rates_8</t>
  </si>
  <si>
    <t>Подключаемая тепловая нагрузка_x000D_
(kind_of_load3)</t>
  </si>
  <si>
    <t>Вид теплоносителя_x000D_
(kind_of_heat_transfer2)</t>
  </si>
  <si>
    <t>Вид теплоносителя_x000D_
(kind_of_heat_transfer3)</t>
  </si>
  <si>
    <t>Вид топлива_x000D_
(kind_of_fuel)</t>
  </si>
  <si>
    <t>Способ закупки товаров_x000D_
(kind_of_zak)</t>
  </si>
  <si>
    <t>виды тарифа_x000D_
/kind_group_rates_load/</t>
  </si>
  <si>
    <t>виды тарифа_x000D_
/kind_group_rates_load_filter/</t>
  </si>
  <si>
    <t>виды признаков дифференциации_x000D_
/kind_of_diff/</t>
  </si>
  <si>
    <t>Диапазаны диаметров водопроводных сетей_x000D_
(kind_of_diameters2)</t>
  </si>
  <si>
    <t>List_H</t>
  </si>
  <si>
    <t>List_M</t>
  </si>
  <si>
    <t>kind_of_org_type</t>
  </si>
  <si>
    <t>Виды топлива_x000D_
/kind_of_fuels/</t>
  </si>
  <si>
    <t>YEAR_IP_LIST</t>
  </si>
  <si>
    <t>MONTH_IP_LIST</t>
  </si>
  <si>
    <t>COLDVSNA/HOTVSNA</t>
  </si>
  <si>
    <t>OTKO</t>
  </si>
  <si>
    <t>Алтайский край</t>
  </si>
  <si>
    <t>январь</t>
  </si>
  <si>
    <t>I квартал</t>
  </si>
  <si>
    <t>На официальном сайте организации</t>
  </si>
  <si>
    <t>тыс.куб.м/сутки</t>
  </si>
  <si>
    <t>метод экономически обоснованных расходов (затрат)</t>
  </si>
  <si>
    <t>Передача+Сбыт</t>
  </si>
  <si>
    <t>первичное раскрытие информации</t>
  </si>
  <si>
    <t>надземная (наземная)</t>
  </si>
  <si>
    <t>50 - 250 мм</t>
  </si>
  <si>
    <t>не превышает 0,1 Гкал/ч</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</si>
  <si>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</si>
  <si>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Форма 4.2.1 Информация о величинах тарифов на тепловую энергию, поддержанию резервной тепловой мощности</t>
  </si>
  <si>
    <t>Тариф на теплоноситель, поставляемый потребителям</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</si>
  <si>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</si>
  <si>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Вода</t>
  </si>
  <si>
    <t>Газ природный по регулируемой цене</t>
  </si>
  <si>
    <t>Конкурс</t>
  </si>
  <si>
    <t>объемы потребления воды абонентами</t>
  </si>
  <si>
    <t>40 мм и менее</t>
  </si>
  <si>
    <t>00</t>
  </si>
  <si>
    <t>газ природный по регулируемой цене</t>
  </si>
  <si>
    <t>тыс м3</t>
  </si>
  <si>
    <t>Январь</t>
  </si>
  <si>
    <t>Амурская область</t>
  </si>
  <si>
    <t>февраль</t>
  </si>
  <si>
    <t>II квартал</t>
  </si>
  <si>
    <t>На сайте регулирующего органа</t>
  </si>
  <si>
    <t>УСН</t>
  </si>
  <si>
    <t>Передача</t>
  </si>
  <si>
    <t>пар</t>
  </si>
  <si>
    <t>к коллектору источника тепловой энергии</t>
  </si>
  <si>
    <t>подземная (канальная)</t>
  </si>
  <si>
    <t>251 - 400 мм</t>
  </si>
  <si>
    <t>более 0,1 Гкал/ч и не превышает 1,5 Гкал/ч</t>
  </si>
  <si>
    <t>Тарифы на тепловую энергию (мощность), поставляемую другим теплоснабжающим организациям теплоснабжающими организациями</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</si>
  <si>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</si>
  <si>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</si>
  <si>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Отборный пар, 1,2-2,5 кг/см2</t>
  </si>
  <si>
    <t>Пар</t>
  </si>
  <si>
    <t>Газ природный по нерегулируемой цене</t>
  </si>
  <si>
    <t>Аукцион</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</si>
  <si>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</si>
  <si>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соответствие качества питьевой воды и горячей воды требованиям, установленным санитарными нормами и правилами</t>
  </si>
  <si>
    <t>от 41 мм до 70 мм включительно</t>
  </si>
  <si>
    <t>01</t>
  </si>
  <si>
    <t>Единая теплоснабжающая организация в ценовой зоне теплоснабжения</t>
  </si>
  <si>
    <t>газ природный по нерегулируемой цене</t>
  </si>
  <si>
    <t>Февраль</t>
  </si>
  <si>
    <t>HEAT_FIN_SRC_LIST</t>
  </si>
  <si>
    <t>VSNA_FIN_SRC_LIST</t>
  </si>
  <si>
    <t>VOTV_FIN_SRC_LIST</t>
  </si>
  <si>
    <t>OTKO_FIN_SRC_LIST</t>
  </si>
  <si>
    <t>HEAT_PT_TARIFF_NAME_LIST</t>
  </si>
  <si>
    <t>COLDVSNA_PT_TARIFF_NAME_LIST</t>
  </si>
  <si>
    <t>HOTVSNA_PT_TARIFF_NAME_LIST</t>
  </si>
  <si>
    <t>VOTV_PT_TARIFF_NAME_LIST</t>
  </si>
  <si>
    <t>Архангельская область</t>
  </si>
  <si>
    <t>март</t>
  </si>
  <si>
    <t>III квартал</t>
  </si>
  <si>
    <t>ЕСХН</t>
  </si>
  <si>
    <t>куб.м/ч</t>
  </si>
  <si>
    <t>метод обеспечения доходности инвестированного капитала</t>
  </si>
  <si>
    <t>производство комбинированная выработка</t>
  </si>
  <si>
    <t>отборный пар, 1.2-2.5 кг/см2</t>
  </si>
  <si>
    <t>к тепловой сети без дополнительного преобразования на тепловых пунктах, эксплуатируемых теплоснабжающей организацией</t>
  </si>
  <si>
    <t>население и приравненные категории</t>
  </si>
  <si>
    <t>подземная (бесканальная)</t>
  </si>
  <si>
    <t>401 - 550 мм</t>
  </si>
  <si>
    <t>превышает 1,5 Гкал/ч при наличии технической возможности подключения</t>
  </si>
  <si>
    <t>Предельный уровнь цены на тепловую энергию (мощность), поставляемую теплоснабжающими организациями потребителям</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</si>
  <si>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</si>
  <si>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Отборный пар, 2,5-7 кг/см2</t>
  </si>
  <si>
    <t>Уголь</t>
  </si>
  <si>
    <t>Аукцион в электронной форме</t>
  </si>
  <si>
    <t>иное</t>
  </si>
  <si>
    <t>от 71 мм до 100 мм включительно</t>
  </si>
  <si>
    <t>02</t>
  </si>
  <si>
    <t>Теплоснабжающая организация в ценовой зоне теплоснабжения</t>
  </si>
  <si>
    <t>газ сжиженный</t>
  </si>
  <si>
    <t>кг</t>
  </si>
  <si>
    <t>Март</t>
  </si>
  <si>
    <t>[ Собственные средства ]</t>
  </si>
  <si>
    <t>HEAT_PT_TARIFF_ID</t>
  </si>
  <si>
    <t>HEAT_PT_TARIFF_NAME</t>
  </si>
  <si>
    <t>COLDVSNA_PT_TARIFF_ID</t>
  </si>
  <si>
    <t>COLDVSNA_PT_TARIFF_NAME</t>
  </si>
  <si>
    <t>HOTVSNA_PT_TARIFF_ID</t>
  </si>
  <si>
    <t>HOTVSNA_PT_TARIFF_NAME</t>
  </si>
  <si>
    <t>VOTV_PT_TARIFF_ID</t>
  </si>
  <si>
    <t>VOTV_PT_TARIFF_NAME</t>
  </si>
  <si>
    <t>Астраханская область</t>
  </si>
  <si>
    <t>апрель</t>
  </si>
  <si>
    <t>IV квартал</t>
  </si>
  <si>
    <t>ПСН</t>
  </si>
  <si>
    <t>метод сравнения аналогов</t>
  </si>
  <si>
    <t>производство (некомбинированная выработка)+передача+сбыт</t>
  </si>
  <si>
    <t>отборный пар, 2.5-7 кг/см2</t>
  </si>
  <si>
    <t>к тепловой сети после тепловых пунктов (на тепловых пунктах), эксплуатируемых теплоснабжающей организацией</t>
  </si>
  <si>
    <t>551 - 700 мм</t>
  </si>
  <si>
    <t>превышает 1,5 Гкал/ч при отсутствии технической возможности подключения</t>
  </si>
  <si>
    <t>Форма 4.2.2 Информация о величинах тарифов на теплоноситель, передачу тепловой энергии, теплоносителя</t>
  </si>
  <si>
    <t>не известна</t>
  </si>
  <si>
    <t>Отборный пар, 7-13 кг/см2</t>
  </si>
  <si>
    <t>Мазут</t>
  </si>
  <si>
    <t>Запрос котировок</t>
  </si>
  <si>
    <t>от 101 мм до 150 мм включительно</t>
  </si>
  <si>
    <t>03</t>
  </si>
  <si>
    <t>Теплосетевая организация в ценовой зоне теплоснабжения</t>
  </si>
  <si>
    <t>газовый конденсат</t>
  </si>
  <si>
    <t>тонны</t>
  </si>
  <si>
    <t>Апрель</t>
  </si>
  <si>
    <t xml:space="preserve">  Прибыль направляемая на инвестиции</t>
  </si>
  <si>
    <t xml:space="preserve">  Нормативная прибыль</t>
  </si>
  <si>
    <t>Тариф на горячую воду в закрытой системе горячего водоснабжения (горячее водоснабжение)</t>
  </si>
  <si>
    <t>Тариф на подключение (технологическое присоединение) к централизованной системе водоотведения в индивидуальном порядке</t>
  </si>
  <si>
    <t>Белгородская область</t>
  </si>
  <si>
    <t>май</t>
  </si>
  <si>
    <t>НПД</t>
  </si>
  <si>
    <t>Вид тарифа на передачу тепловой энергии /kind_of_tariff_unit/</t>
  </si>
  <si>
    <t>производство (некомбинированная выработка)+передача</t>
  </si>
  <si>
    <t>отборный пар, 7-13 кг/см2</t>
  </si>
  <si>
    <t>701 мм и выше</t>
  </si>
  <si>
    <t>Форма 4.2.3 Информация о величинах тарифов на горячую воду (в открытых системах)</t>
  </si>
  <si>
    <t>Отборный пар, &gt; 13 кг/см2</t>
  </si>
  <si>
    <t>Дизельное топливо</t>
  </si>
  <si>
    <t>Единственный поставщик</t>
  </si>
  <si>
    <t>от 151 мм до 200 мм включительно</t>
  </si>
  <si>
    <t>04</t>
  </si>
  <si>
    <t>гшз</t>
  </si>
  <si>
    <t>Май</t>
  </si>
  <si>
    <t xml:space="preserve">  [ Амортизационные отчисления ]</t>
  </si>
  <si>
    <t xml:space="preserve">  Капитальные вложения (инвестиции), финансируемые за счет нормативной прибыли, учитываемой в необходимой валовой выручке</t>
  </si>
  <si>
    <t xml:space="preserve">  Амортизационные отчисления</t>
  </si>
  <si>
    <t>Тариф на подключение к централизованной системе водоотведения</t>
  </si>
  <si>
    <t>Брянская область</t>
  </si>
  <si>
    <t>июнь</t>
  </si>
  <si>
    <t>налогообложение казённых учреждений</t>
  </si>
  <si>
    <t>руб./Гкал/ч/мес</t>
  </si>
  <si>
    <t>производство (некомбинированная выработка)+сбыт</t>
  </si>
  <si>
    <t>отборный пар, &gt; 13 кг/см2</t>
  </si>
  <si>
    <t>Острый и редуцированный пар</t>
  </si>
  <si>
    <t>Дрова</t>
  </si>
  <si>
    <t>Иное</t>
  </si>
  <si>
    <t>от 201 мм до 250 мм включительно</t>
  </si>
  <si>
    <t>05</t>
  </si>
  <si>
    <t>QRE_METHOD_LIST</t>
  </si>
  <si>
    <t>мазут</t>
  </si>
  <si>
    <t>Июнь</t>
  </si>
  <si>
    <t xml:space="preserve">      Амортизационные отчисления с выделением результатов переоценки основных средств и нематериальных активов</t>
  </si>
  <si>
    <t>[ Привлеченные средства ]</t>
  </si>
  <si>
    <t>Тариф на подключение к централизованной системе горячего водоснабжения</t>
  </si>
  <si>
    <t>Владимирская область</t>
  </si>
  <si>
    <t>июль</t>
  </si>
  <si>
    <t>смешанное налогообложение</t>
  </si>
  <si>
    <t>руб./Гкал</t>
  </si>
  <si>
    <t>производство (некомбинированная выработка)</t>
  </si>
  <si>
    <t>острый и редуцированный пар</t>
  </si>
  <si>
    <t>Электроэнергия</t>
  </si>
  <si>
    <t>от 250  мм и более</t>
  </si>
  <si>
    <t>06</t>
  </si>
  <si>
    <t>по мероприятиям</t>
  </si>
  <si>
    <t>нефть</t>
  </si>
  <si>
    <t>Июль</t>
  </si>
  <si>
    <t xml:space="preserve">      Прочие амортизационные отчисления</t>
  </si>
  <si>
    <t xml:space="preserve">     Амортизационные отчисления за исключением переоценки основных средств и нематериальных активов</t>
  </si>
  <si>
    <t xml:space="preserve">  Кредиты</t>
  </si>
  <si>
    <t>Тариф на подключение (технологическое присоединение) к централизованной системе холодного водоснабжения в индивидуальном порядке</t>
  </si>
  <si>
    <t>Тариф на подключение к централизованной системе горячего водоснабжения (инд)</t>
  </si>
  <si>
    <t>Волгоградская область</t>
  </si>
  <si>
    <t>август</t>
  </si>
  <si>
    <t>НДС общий_x000D_
/kind_of_NDS_tariff/</t>
  </si>
  <si>
    <t>НДС_x000D_
/kind_of_NDS_tariff/</t>
  </si>
  <si>
    <t>горячая вода в системе централизованного теплоснабжения на отопление</t>
  </si>
  <si>
    <t>Прочее</t>
  </si>
  <si>
    <t>Плата за подключение к системе теплоснабжения</t>
  </si>
  <si>
    <t>07</t>
  </si>
  <si>
    <t>по группам мероприятий</t>
  </si>
  <si>
    <t>дизельное топливо</t>
  </si>
  <si>
    <t>Август</t>
  </si>
  <si>
    <t xml:space="preserve">  Прочие собственные средства</t>
  </si>
  <si>
    <t xml:space="preserve">     Амортизационные отчисления в результате переоценки основных средств и нематериальных активов</t>
  </si>
  <si>
    <t xml:space="preserve">  [ Займы ]</t>
  </si>
  <si>
    <t>Вологодская область</t>
  </si>
  <si>
    <t>сентябрь</t>
  </si>
  <si>
    <t>тариф указан с НДС для плательщиков НДС</t>
  </si>
  <si>
    <t>тариф для организаций не являющихся плательщиками НДС</t>
  </si>
  <si>
    <t>Установленная электрическая мощность. Теплоэлектростанции. Ед.измерения  /kind_of_power_te_unit/</t>
  </si>
  <si>
    <t>цель инвестиционной программы /kind_of_purchase_method/</t>
  </si>
  <si>
    <t>горячая вода в системе централизованного теплоснабжения на горячее водоснабжение</t>
  </si>
  <si>
    <t>Плата за подключение к системе теплоснабжения (индивидуальная)</t>
  </si>
  <si>
    <t>Форма 4.2.5 Информация о плате за подключение к системе теплоснабжения в индивидуальном порядке</t>
  </si>
  <si>
    <t>08</t>
  </si>
  <si>
    <t>в целом на инвестиционную программу</t>
  </si>
  <si>
    <t>уголь бурый</t>
  </si>
  <si>
    <t>Сентябрь</t>
  </si>
  <si>
    <t xml:space="preserve">  За счет платы за технологическое присоединение</t>
  </si>
  <si>
    <t xml:space="preserve">     Прочие амортизационные отчисления</t>
  </si>
  <si>
    <t xml:space="preserve">      Займы, предоставленные Фондом ЖКХ за счет средств ФНБ</t>
  </si>
  <si>
    <t>Воронежская область</t>
  </si>
  <si>
    <t>октябрь</t>
  </si>
  <si>
    <t>тариф указан без НДС для плательщиков НДС</t>
  </si>
  <si>
    <t>тариф не утверждался</t>
  </si>
  <si>
    <t>кВт*ч</t>
  </si>
  <si>
    <t>Торги/аукционы</t>
  </si>
  <si>
    <t>прочее</t>
  </si>
  <si>
    <t>Форма 4.2.4 Информация о величинах тарифов на подключение к системе теплоснабжения</t>
  </si>
  <si>
    <t>09</t>
  </si>
  <si>
    <t>по муниципальным образованиям/территориям</t>
  </si>
  <si>
    <t>уголь каменный</t>
  </si>
  <si>
    <t>Октябрь</t>
  </si>
  <si>
    <t xml:space="preserve">  [ Экономия расходов ]</t>
  </si>
  <si>
    <t xml:space="preserve">      Прочие займы</t>
  </si>
  <si>
    <t>г.Байконур</t>
  </si>
  <si>
    <t>ноябрь</t>
  </si>
  <si>
    <t>МВт</t>
  </si>
  <si>
    <t>Прямые договора без торгов</t>
  </si>
  <si>
    <t>Предельный уровнь цены на тепловую энергию (мощность), поставляемую теплоснабжающими организациями потребителям. Индикативы</t>
  </si>
  <si>
    <t>по централизованным системам</t>
  </si>
  <si>
    <t>торф</t>
  </si>
  <si>
    <t>Ноябрь</t>
  </si>
  <si>
    <t xml:space="preserve">      Экономия расходов в результате реализации мероприятий инвестиционной программы</t>
  </si>
  <si>
    <t xml:space="preserve">  Средства, полученные за счет платы за подключение (технологическое присоединение)</t>
  </si>
  <si>
    <t>[ Бюджетное финансирование ]</t>
  </si>
  <si>
    <t>г. Москва</t>
  </si>
  <si>
    <t>декабрь</t>
  </si>
  <si>
    <t>дрова</t>
  </si>
  <si>
    <t>м3</t>
  </si>
  <si>
    <t>Декабрь</t>
  </si>
  <si>
    <t xml:space="preserve">      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</si>
  <si>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 xml:space="preserve">  Федеральный бюджет</t>
  </si>
  <si>
    <t>г.Санкт-Петербург</t>
  </si>
  <si>
    <t>Объём приобретаемой тепловой энергии (мощности), используемой для горячего водоснабжения. Ед.измерения  /kind_of_volume_te_unit/</t>
  </si>
  <si>
    <t>Вид деятельности /kind_of_activity/</t>
  </si>
  <si>
    <t>TITLE_IP_DETAILED_METHOD_LIST</t>
  </si>
  <si>
    <t>опил</t>
  </si>
  <si>
    <t xml:space="preserve">      Экономия расходов, достигнутая регулируемой организацией в результате реализации мероприятий инвестиционной программы за счет амортизационных отчислений</t>
  </si>
  <si>
    <t xml:space="preserve">  Бюджет субъекта РФ</t>
  </si>
  <si>
    <t>г.Севастополь</t>
  </si>
  <si>
    <t>TemplateState</t>
  </si>
  <si>
    <t>НДС общий люди_x000D_
/kind_of_NDS_tariff_people/</t>
  </si>
  <si>
    <t>НДС_x000D_
/kind_of_NDS_tariff_people/</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</si>
  <si>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</si>
  <si>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отходы березовые</t>
  </si>
  <si>
    <t xml:space="preserve">      Экономия расходов, достигнутая регулируемой организацией в результате реализации мероприятий инвестиционной программы за счет капитальных вложений в составе нормативной прибыли</t>
  </si>
  <si>
    <t xml:space="preserve">  Бюджет муниципального образования</t>
  </si>
  <si>
    <t>Донецкая Народная Республика</t>
  </si>
  <si>
    <t>START_FILL</t>
  </si>
  <si>
    <t>тариф с НДС организаций-плательщиков НДС</t>
  </si>
  <si>
    <t>тариф организаций не являющихся плательщиками НДС</t>
  </si>
  <si>
    <t>15</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</si>
  <si>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</si>
  <si>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отходы осиновые</t>
  </si>
  <si>
    <t xml:space="preserve">      Экономия расходов, достигнутая регулируемой организацией в результате реализации мероприятий инвестиционной программы за счет прочих собственных средств</t>
  </si>
  <si>
    <t>[ Прочие источники финансирования ]</t>
  </si>
  <si>
    <t>Еврейская автономная область</t>
  </si>
  <si>
    <t>16</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</si>
  <si>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</si>
  <si>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по мероприятиям и группам мероприятий</t>
  </si>
  <si>
    <t>печное топливо</t>
  </si>
  <si>
    <t xml:space="preserve">      Экономия расходов, достигнутая регулируемой организацией в результате реализации мероприятий инвестиционной программы за счет за счет займов и кредитов</t>
  </si>
  <si>
    <t xml:space="preserve">  Лизинг</t>
  </si>
  <si>
    <t>COLDVSNA_PT_VED_NAME_LIST</t>
  </si>
  <si>
    <t>HOTVSNA_PT_VED_NAME_LIST</t>
  </si>
  <si>
    <t>VOTV_PT_VED_NAME_LIST</t>
  </si>
  <si>
    <t>TKO_PT_VED_NAME_LIST</t>
  </si>
  <si>
    <t>Забайкальский край</t>
  </si>
  <si>
    <t>Тарифы на тепло для REQUEST.HEAT_x000D_
/kind_of_tariff_RHEAT/</t>
  </si>
  <si>
    <t>17</t>
  </si>
  <si>
    <t>производство теплоносителя</t>
  </si>
  <si>
    <t>пилеты</t>
  </si>
  <si>
    <t xml:space="preserve">      Экономия средств, достигнутая регулируемой организацией в результате снижения расходов</t>
  </si>
  <si>
    <t xml:space="preserve">  Прочие</t>
  </si>
  <si>
    <t>COLDVSNA_PT_VED_ID</t>
  </si>
  <si>
    <t>COLDVSNA_PT_VED_NAME</t>
  </si>
  <si>
    <t>HOTVSNA_PT_VED_ID</t>
  </si>
  <si>
    <t>HOTVSNA_PT_VED_NAME</t>
  </si>
  <si>
    <t>VOTV_PT_VED_ID</t>
  </si>
  <si>
    <t>VOTV_PT_VED_NAME</t>
  </si>
  <si>
    <t>TKO_PT_VED_ID</t>
  </si>
  <si>
    <t>TKO_PT_VED_NAME</t>
  </si>
  <si>
    <t>Запорожская область</t>
  </si>
  <si>
    <t>18</t>
  </si>
  <si>
    <t>передача тепловой энергии и теплоносителя</t>
  </si>
  <si>
    <t>IP_CLAIM_LIST</t>
  </si>
  <si>
    <t>смола</t>
  </si>
  <si>
    <t xml:space="preserve">  Прочие привлеченные средства</t>
  </si>
  <si>
    <t xml:space="preserve">      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</si>
  <si>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Производство тепловой энергии. Некомбинированная выработка</t>
  </si>
  <si>
    <t>Холодное водоснабжение. Питьевая вода</t>
  </si>
  <si>
    <t>Горячее водоснабжение</t>
  </si>
  <si>
    <t>Водоотведение</t>
  </si>
  <si>
    <t>Захоронение твердых коммунальных отходов</t>
  </si>
  <si>
    <t>Ивановская область</t>
  </si>
  <si>
    <t>19</t>
  </si>
  <si>
    <t>сбыт тепловой энергии и теплоносителя</t>
  </si>
  <si>
    <t>уменьшение удельных затрат (повышение КПД)</t>
  </si>
  <si>
    <t>щепа</t>
  </si>
  <si>
    <t>Производство тепловой энергии. Комбинированная выработка с уст. мощностью производства электрической энергии менее 25 МВт</t>
  </si>
  <si>
    <t>Холодное водоснабжение. Техническая вода</t>
  </si>
  <si>
    <t>Транспортировка</t>
  </si>
  <si>
    <t>Обезвреживание твердых коммунальных отходов</t>
  </si>
  <si>
    <t>Иркутская область</t>
  </si>
  <si>
    <t>20</t>
  </si>
  <si>
    <t>подключение к системе теплоснабжения</t>
  </si>
  <si>
    <t>автоматизация (с уменьшением штата)</t>
  </si>
  <si>
    <t>горючий сланец</t>
  </si>
  <si>
    <t>Производство тепловой энергии. Комбинированная выработка с уст. мощностью производства электрической энергии 25 МВт и более</t>
  </si>
  <si>
    <t>Холодное водоснабжение. Подвозная вода</t>
  </si>
  <si>
    <t>Подключение (технологическое присоединение) к централизованной системе горячего водоснабжения</t>
  </si>
  <si>
    <t>Подключение (технологическое присоединение) к централизованной системе водоотведения</t>
  </si>
  <si>
    <t>Обработка твердых коммунальных отходов</t>
  </si>
  <si>
    <t>Кабардино-Балкарская республика</t>
  </si>
  <si>
    <t>поддержание резервной тепловой мощности при отсутствии потребления тепловой энергии</t>
  </si>
  <si>
    <t>уменьшение издержек на производство</t>
  </si>
  <si>
    <t>керосин</t>
  </si>
  <si>
    <t>Производство. Теплоноситель</t>
  </si>
  <si>
    <t>Транспортировка. Питьевая вода</t>
  </si>
  <si>
    <t>Калининградская область</t>
  </si>
  <si>
    <t>21</t>
  </si>
  <si>
    <t>снижение аварийности</t>
  </si>
  <si>
    <t>кислородно-водородная смесь</t>
  </si>
  <si>
    <t>Передача. Тепловая энергия</t>
  </si>
  <si>
    <t>Транспортировка. Техническая вода</t>
  </si>
  <si>
    <t>Энергетическая утилизация</t>
  </si>
  <si>
    <t>Калужская область</t>
  </si>
  <si>
    <t>22</t>
  </si>
  <si>
    <t>улучшение качества</t>
  </si>
  <si>
    <t>электроэнергия (НН)</t>
  </si>
  <si>
    <t>тыс кВт.ч</t>
  </si>
  <si>
    <t>Передача. Теплоноситель</t>
  </si>
  <si>
    <t>Транспортировка. Подвозная вода</t>
  </si>
  <si>
    <t>Транспортирование твердых коммунальных отходов</t>
  </si>
  <si>
    <t>Камчатский край</t>
  </si>
  <si>
    <t>23</t>
  </si>
  <si>
    <t>повышение надёжности и энергетической эффективности</t>
  </si>
  <si>
    <t>электроэнергия (СН1)</t>
  </si>
  <si>
    <t>Сбыт. Тепловая энергия</t>
  </si>
  <si>
    <t>Подключение (технологическое присоединение) к централизованной системе водоснабжения</t>
  </si>
  <si>
    <t>Карачаево-Черкесская республика</t>
  </si>
  <si>
    <t>CROSSES</t>
  </si>
  <si>
    <t>24</t>
  </si>
  <si>
    <t>электроэнергия (СН2)</t>
  </si>
  <si>
    <t>Сбыт. Теплоноситель</t>
  </si>
  <si>
    <t>Кемеровская область</t>
  </si>
  <si>
    <t>25</t>
  </si>
  <si>
    <t>электроэнергия (ВН)</t>
  </si>
  <si>
    <t>Подключение (технологическое присоединение) к системе теплоснабжения</t>
  </si>
  <si>
    <t>Кировская область</t>
  </si>
  <si>
    <t>Текущая дата</t>
  </si>
  <si>
    <t>26</t>
  </si>
  <si>
    <t>PT_GROUP_CONSUMER_LIST</t>
  </si>
  <si>
    <t>мощность</t>
  </si>
  <si>
    <t>тыс кВт</t>
  </si>
  <si>
    <t>Поддержание резервной тепловой мощности при отсутствии потребления тепловой энергии</t>
  </si>
  <si>
    <t>Костромская область</t>
  </si>
  <si>
    <t>Организация</t>
  </si>
  <si>
    <t>25.07.2023 22:51:32</t>
  </si>
  <si>
    <t>27</t>
  </si>
  <si>
    <t>Краснодарский край</t>
  </si>
  <si>
    <t>28</t>
  </si>
  <si>
    <t xml:space="preserve">  Плата концедента на строительство, модернизацию и (или) реконструкцию объекта концессионного соглашения в размере, предусмотренном заключенным концессионным соглашением</t>
  </si>
  <si>
    <t>Красноярский край</t>
  </si>
  <si>
    <t>29</t>
  </si>
  <si>
    <t>население</t>
  </si>
  <si>
    <t xml:space="preserve">  Иные бюджетные средства</t>
  </si>
  <si>
    <t>Курганская область</t>
  </si>
  <si>
    <t>Виды деятельности</t>
  </si>
  <si>
    <t>https://appsrv.regportal-tariff.ru/procwsxls/</t>
  </si>
  <si>
    <t>30</t>
  </si>
  <si>
    <t>Курская область</t>
  </si>
  <si>
    <t>31</t>
  </si>
  <si>
    <t>Ленинградская область</t>
  </si>
  <si>
    <t>32</t>
  </si>
  <si>
    <t>Липецкая область</t>
  </si>
  <si>
    <t>33</t>
  </si>
  <si>
    <t>PT_SCHEME_LIST</t>
  </si>
  <si>
    <t xml:space="preserve">  Доход от взимания платы за нарушение нормативов по объему и (или) составу сточных вод</t>
  </si>
  <si>
    <t>Луганская Народная Республика</t>
  </si>
  <si>
    <t>TEMPLATE_SPHERE</t>
  </si>
  <si>
    <t>34</t>
  </si>
  <si>
    <t xml:space="preserve">  Доход от взимания платы за негативное воздействие на работу централизованной системы водоотведения</t>
  </si>
  <si>
    <t>Магаданская область</t>
  </si>
  <si>
    <t>теплоснабжения</t>
  </si>
  <si>
    <t>теплоснабжение</t>
  </si>
  <si>
    <t>35</t>
  </si>
  <si>
    <t>Московская область</t>
  </si>
  <si>
    <t>холодного водоснабжения</t>
  </si>
  <si>
    <t>холодное водоснабжение</t>
  </si>
  <si>
    <t>36</t>
  </si>
  <si>
    <t>HEAT_FIN_SRC_VLD_LIST</t>
  </si>
  <si>
    <t>VSNA_FIN_SRC_VLD_LIST</t>
  </si>
  <si>
    <t>VOTV_FIN_SRC_VLD_LIST</t>
  </si>
  <si>
    <t>OTKO_FIN_SRC_VLD_LIST</t>
  </si>
  <si>
    <t>Мурманская область</t>
  </si>
  <si>
    <t>водоотведения</t>
  </si>
  <si>
    <t>водоотведение</t>
  </si>
  <si>
    <t>37</t>
  </si>
  <si>
    <t>Прибыль направляемая на инвестиции</t>
  </si>
  <si>
    <t>Нормативная прибыль</t>
  </si>
  <si>
    <t>Ненецкий автономный округ</t>
  </si>
  <si>
    <t>горячего водоснабжения</t>
  </si>
  <si>
    <t>горячее водоснабжение</t>
  </si>
  <si>
    <t>38</t>
  </si>
  <si>
    <t>Амортизационные отчисления с выделением результатов переоценки основных средств и нематериальных активов</t>
  </si>
  <si>
    <t>Нижегородская область</t>
  </si>
  <si>
    <t>обращения с твердыми коммунальными отходами</t>
  </si>
  <si>
    <t>TKO</t>
  </si>
  <si>
    <t>39</t>
  </si>
  <si>
    <t>PT_TN_LIST</t>
  </si>
  <si>
    <t>Прочие амортизационные отчисления</t>
  </si>
  <si>
    <t>Новгородская область</t>
  </si>
  <si>
    <t>40</t>
  </si>
  <si>
    <t>Займы, предоставленные Фондом ЖКХ за счет средств ФНБ</t>
  </si>
  <si>
    <t>Новосибирская область</t>
  </si>
  <si>
    <t>41</t>
  </si>
  <si>
    <t>За счет платы за технологическое присоединение</t>
  </si>
  <si>
    <t>Прочие займы</t>
  </si>
  <si>
    <t>Омская область</t>
  </si>
  <si>
    <t>PeriodIsEmpty</t>
  </si>
  <si>
    <t>NameTemplatesInTitle</t>
  </si>
  <si>
    <t>NameTemplatesInListMO</t>
  </si>
  <si>
    <t>42</t>
  </si>
  <si>
    <t>Экономия расходов в результате реализации мероприятий инвестиционной программы</t>
  </si>
  <si>
    <t>Федеральный бюджет</t>
  </si>
  <si>
    <t>Оренбургская область</t>
  </si>
  <si>
    <t>TEMPLATE_GROUP</t>
  </si>
  <si>
    <t>R</t>
  </si>
  <si>
    <t>CodeTemplate</t>
  </si>
  <si>
    <t>StartDate</t>
  </si>
  <si>
    <t>EndDate</t>
  </si>
  <si>
    <t>43</t>
  </si>
  <si>
    <t>Экономия расходов,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 плату за подключение (технологическое присоединение) к системам централизованного теплоснабжения</t>
  </si>
  <si>
    <t>Бюджет субъекта РФ</t>
  </si>
  <si>
    <t>Орловская область</t>
  </si>
  <si>
    <t>O</t>
  </si>
  <si>
    <t>44</t>
  </si>
  <si>
    <t>Бюджет муниципального образования</t>
  </si>
  <si>
    <t>Пензенская область</t>
  </si>
  <si>
    <t>Q</t>
  </si>
  <si>
    <t>45</t>
  </si>
  <si>
    <t>Лизинг</t>
  </si>
  <si>
    <t>Пермский край</t>
  </si>
  <si>
    <t>BALANCE</t>
  </si>
  <si>
    <t>B</t>
  </si>
  <si>
    <t>Информация о показателях финансово-хозяйственной деятельности, об основных потребительских характеристиках регулируемых товаров и услуг, об инвестиционных программах</t>
  </si>
  <si>
    <t>46</t>
  </si>
  <si>
    <t>Прочие</t>
  </si>
  <si>
    <t>Приморский край</t>
  </si>
  <si>
    <t>TERMS</t>
  </si>
  <si>
    <t>T</t>
  </si>
  <si>
    <t>47</t>
  </si>
  <si>
    <t>Псковская область</t>
  </si>
  <si>
    <t>INVEST</t>
  </si>
  <si>
    <t>48</t>
  </si>
  <si>
    <t>Республика Адыгея</t>
  </si>
  <si>
    <t>REQUEST</t>
  </si>
  <si>
    <t>49</t>
  </si>
  <si>
    <t>Экономия расходов в результате реализации энергосервисного договора (контракта) в результате снижения расходов, в размере, определенном по решению регулируемой организации, плату за подключение к централизованным системам водоснабжения</t>
  </si>
  <si>
    <t>Республика Алтай</t>
  </si>
  <si>
    <t>PRICE</t>
  </si>
  <si>
    <t>P</t>
  </si>
  <si>
    <t>50</t>
  </si>
  <si>
    <t>Республика Башкортостан</t>
  </si>
  <si>
    <t>ROIV</t>
  </si>
  <si>
    <t>Показатели, подлежащие раскрытию органами регулирования</t>
  </si>
  <si>
    <t>51</t>
  </si>
  <si>
    <t>Республика Бурятия</t>
  </si>
  <si>
    <t>52</t>
  </si>
  <si>
    <t>PT_NETS_LIST</t>
  </si>
  <si>
    <t>Республика Дагестан</t>
  </si>
  <si>
    <t>53</t>
  </si>
  <si>
    <t>Республика Ингушетия</t>
  </si>
  <si>
    <t>TERRITORY_ID</t>
  </si>
  <si>
    <t>начинать только с 2, остальное по умолчанию</t>
  </si>
  <si>
    <t>54</t>
  </si>
  <si>
    <t>Республика Калмыкия</t>
  </si>
  <si>
    <t>DIFFERENTIATION_ID</t>
  </si>
  <si>
    <t>55</t>
  </si>
  <si>
    <t>Республика Карелия</t>
  </si>
  <si>
    <t>IP_ID</t>
  </si>
  <si>
    <t>56</t>
  </si>
  <si>
    <t>Республика Коми</t>
  </si>
  <si>
    <t>начинать только с 30, остальное по умолчанию</t>
  </si>
  <si>
    <t>57</t>
  </si>
  <si>
    <t>PT_DIAMETERS_LIST</t>
  </si>
  <si>
    <t>Республика Крым</t>
  </si>
  <si>
    <t>VDET_ID</t>
  </si>
  <si>
    <t>58</t>
  </si>
  <si>
    <t>Республика Марий Эл</t>
  </si>
  <si>
    <t>NTAR_ID</t>
  </si>
  <si>
    <t>301111111</t>
  </si>
  <si>
    <t>59</t>
  </si>
  <si>
    <t>Республика Мордовия</t>
  </si>
  <si>
    <t>Республика Саха (Якутия)</t>
  </si>
  <si>
    <t>CS_ID</t>
  </si>
  <si>
    <t>Республика Северная Осетия-Алания</t>
  </si>
  <si>
    <t>IST_TE_ID</t>
  </si>
  <si>
    <t>Республика Татарстан</t>
  </si>
  <si>
    <t>Республика Тыва</t>
  </si>
  <si>
    <t>PT_LOAD_LIST</t>
  </si>
  <si>
    <t>Республика Хакасия</t>
  </si>
  <si>
    <t>Ростовская область</t>
  </si>
  <si>
    <t>HEAT_IP_EVENT_GROUP_LIST</t>
  </si>
  <si>
    <t>VSNA_IP_EVENT_GROUP_LIST</t>
  </si>
  <si>
    <t>VOTV_IP_EVENT_GROUP_LIST</t>
  </si>
  <si>
    <t>OTKO_IP_EVENT_GROUP_LIST</t>
  </si>
  <si>
    <t>Рязанская область</t>
  </si>
  <si>
    <t>Строительство, реконструкция или модернизация объектов теплоснабжения в целях подключения потребителей с указанием объектов теплоснабжения, строительство которых финансируется за счет платы за подключение</t>
  </si>
  <si>
    <t>Строительство, реконструкция или модернизация объектов водоснабжения в целях подключения потребителей с указанием объектов водоснабжения, строительство которых финансируется за счет платы за подключение</t>
  </si>
  <si>
    <t>Строительство, реконструкция или модернизация объектов водоотведения и очистки сточных вод в целях подключения потребителей с указанием объектов водоотведения и очистки сточных вод, строительство которых финансируется за счет платы за подключение</t>
  </si>
  <si>
    <t>Мероприятия инвестиционной программы в части накопления твердых коммунальных отходов</t>
  </si>
  <si>
    <t>Самарская область</t>
  </si>
  <si>
    <t>Строительство новых объектов теплоснабжения, не связанных с подключением (технологическим присоединением) новых потребителей, в том числе строительство новых тепловых сетей</t>
  </si>
  <si>
    <t>Строительство новых объектов водоснабжения, не связанных с подключением (технологическим присоединением) новых потребителей, в том числе строительство новых сетей водоснабжения</t>
  </si>
  <si>
    <t>Строительство новых объектов водоотведения и очистки сточных вод, не связанных с подключением (технологическим присоединением) новых потребителей, в том числе строительство новых сетей водоотведения и очистки сточных вод</t>
  </si>
  <si>
    <t>Мероприятия инвестиционной программы в части обработки твердых коммунальных отходов</t>
  </si>
  <si>
    <t>Саратовская область</t>
  </si>
  <si>
    <t>Реконструкция или модернизация существующих объектов теплоснабжения в целях снижения уровня износа существующих объектов теплоснабжения</t>
  </si>
  <si>
    <t>Реконструкция или модернизация существующих объектов водоснабжения в целях снижения уровня износа существующих объектов водоснабжения</t>
  </si>
  <si>
    <t>Реконструкция или модернизация существующих объектов водоотведения и очистки сточных вод в целях снижения уровня износа существующих объектов водоотведения и очистки сточных вод</t>
  </si>
  <si>
    <t>Мероприятия инвестиционной программы в части утилизации твердых коммунальных отходов</t>
  </si>
  <si>
    <t>Сахалинская область</t>
  </si>
  <si>
    <t>Мероприятия, направленные на повышение экологической эффективности</t>
  </si>
  <si>
    <t>Мероприятия инвестиционной программы в части обезвреживания твердых коммунальных отходов</t>
  </si>
  <si>
    <t>Свердловская область</t>
  </si>
  <si>
    <t>Вывод из эксплуатации, консервации и демонтаж объектов теплоснабжения</t>
  </si>
  <si>
    <t>Вывод из эксплуатации, консервация и демонтаж объектов водоснабжения</t>
  </si>
  <si>
    <t>Вывод из эксплуатации, консервация и демонтаж объектов водоотведения и очистки сточных вод</t>
  </si>
  <si>
    <t>Мероприятия инвестиционной программы в части хранения твердых коммунальных отходов</t>
  </si>
  <si>
    <t>Смоленская область</t>
  </si>
  <si>
    <t>Мероприятия, направленные на повышение энергоэффективности в сфере теплоснабжения</t>
  </si>
  <si>
    <t>Мероприятия, направленные на повышение энергоэффективности в сфере водоснабжения</t>
  </si>
  <si>
    <t>Мероприятия, направленные на повышение энергоэффективности в сфере водоотведения и очистки сточных вод</t>
  </si>
  <si>
    <t>Мероприятия инвестиционной программы в части захоронения твердых коммунальных отходов</t>
  </si>
  <si>
    <t>Ставропольский край</t>
  </si>
  <si>
    <t>PT_DIAMETERS_2_LIST</t>
  </si>
  <si>
    <t>Мероприятия по подготовке проектной документации</t>
  </si>
  <si>
    <t>Тамбовская область</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</si>
  <si>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осуществлением деятельности в сфере теплоснабжения, включая мероприятия по обеспечению безопасности и антитеррористической защищенности объектов топливно-энергетического комплекса, безопасности критической информационной инфраструктуры</t>
  </si>
  <si>
    <t>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горячего водоснабжения, холодного водоснабжения с использованием централизованных систем водоснабжения</t>
  </si>
  <si>
    <t xml:space="preserve">Мероприятия, предусматривающие капитальные вложения в объекты основных средств и нематериальные активы регулируемой организации, обусловленные необходимостью соблюдения регулируемыми организациями обязательных требований, установленных законодательством Российской Федерации и связанных с обеспечением деятельности в сфере водоотведения с использованием централизованных систем водоотведения_x000D_
</t>
  </si>
  <si>
    <t>Тверская область</t>
  </si>
  <si>
    <t>Томская область</t>
  </si>
  <si>
    <t>Тульская область</t>
  </si>
  <si>
    <t>HEAT_IP_EVENT_SUBGROUP_1_LIST</t>
  </si>
  <si>
    <t>VSNA_IP_EVENT_SUBGROUP_1_LIST</t>
  </si>
  <si>
    <t>VOTV_IP_EVENT_SUBGROUP_1_LIST</t>
  </si>
  <si>
    <t>строительство новых тепловых сетей в целях подключения потребителей</t>
  </si>
  <si>
    <t>строительство новых сетей водоснабжения в целях подключения потребителей</t>
  </si>
  <si>
    <t>строительство новых сетей водоотведения и очистки сточных вод в целях подключения потребителей</t>
  </si>
  <si>
    <t>Удмуртская республика</t>
  </si>
  <si>
    <t>строительство иных объектов теплоснабжения за исключением тепловых сетей в целях подключения потребителей</t>
  </si>
  <si>
    <t>строительство иных объектов водоснабжения, за исключением сетей водоснабжения в целях подключения потребителей</t>
  </si>
  <si>
    <t>строительство иных объектов водоотведения и очистки сточных вод, за исключением сетей водоотведения и очистки сточных вод в целях подключения потребителей</t>
  </si>
  <si>
    <t>Ульяновская область</t>
  </si>
  <si>
    <t>увеличение пропускной способности существующих тепловых сетей в целях подключения потребителей</t>
  </si>
  <si>
    <t>увеличение пропускной способности существующих сетей водоснабжения в целях подключения потребителей</t>
  </si>
  <si>
    <t>увеличение пропускной способности существующих сетей водоотведения и очистки сточных вод в целях подключения потребителей</t>
  </si>
  <si>
    <t>Хабаровский край</t>
  </si>
  <si>
    <t>увеличение мощности и производительности существующих объектов теплоснабжения за исключением тепловых сетей в целях подключения потребителей</t>
  </si>
  <si>
    <t>увеличение мощности и производительности существующих объектов водоснабжения, за исключением сетей водоснабжения в целях подключения потребителей</t>
  </si>
  <si>
    <t>увеличение мощности и производительности существующих объектов водоотведения и очистки сточных вод за исключением сетей водоотведения и очистки сточных вод, в целях подключения потребителей</t>
  </si>
  <si>
    <t>Ханты-Мансийский автономный округ</t>
  </si>
  <si>
    <t>TYPE_TKO_LIST</t>
  </si>
  <si>
    <t>Херсонская область</t>
  </si>
  <si>
    <t>несортированные</t>
  </si>
  <si>
    <t>Челябинская область</t>
  </si>
  <si>
    <t>сортированные</t>
  </si>
  <si>
    <t>HEAT_IP_EVENT_SUBGROUP_3_LIST</t>
  </si>
  <si>
    <t>VSNA_IP_EVENT_SUBGROUP_3_LIST</t>
  </si>
  <si>
    <t>VOTV_IP_EVENT_SUBGROUP_3_LIST</t>
  </si>
  <si>
    <t>Чеченская республика</t>
  </si>
  <si>
    <t>крупногабаритные</t>
  </si>
  <si>
    <t>реконструкция или модернизация существующих тепловых сетей</t>
  </si>
  <si>
    <t>реконструкция или модернизация существующих сетей водоснабжения</t>
  </si>
  <si>
    <t>реконструкция или модернизация существующих сетей водоотведения и очистки сточных вод</t>
  </si>
  <si>
    <t>Чувашская республика</t>
  </si>
  <si>
    <t>реконструкция или модернизация существующих объектов теплоснабжения, за исключением тепловых сетей</t>
  </si>
  <si>
    <t>реконструкция или модернизация существующих объектов водоснабжения, за исключением сетей водоснабжения</t>
  </si>
  <si>
    <t>реконструкция или модернизация существующих объектов водоотведения и очистки сточных вод, за исключением сетей водоотведения и очистки сточных вод</t>
  </si>
  <si>
    <t>Чукотский автономный округ</t>
  </si>
  <si>
    <t>CLASS_TKO_LIST</t>
  </si>
  <si>
    <t>Ямало-Ненецкий автономный округ</t>
  </si>
  <si>
    <t>Ярославская область</t>
  </si>
  <si>
    <t>HEAT_IP_EVENT_SUBGROUP_5_LIST</t>
  </si>
  <si>
    <t>VSNA_IP_EVENT_SUBGROUP_5_LIST</t>
  </si>
  <si>
    <t>VOTV_IP_EVENT_SUBGROUP_5_LIST</t>
  </si>
  <si>
    <t>III</t>
  </si>
  <si>
    <t>вывод из эксплуатации, консервация и демонтаж тепловых сетей</t>
  </si>
  <si>
    <t>вывод из эксплуатации, консервация и демонтаж сетей водоснабжения</t>
  </si>
  <si>
    <t>вывод из эксплуатации, консервация и демонтаж сетей водоотведения и очистки сточных вод</t>
  </si>
  <si>
    <t>IV</t>
  </si>
  <si>
    <t>вывод из эксплуатации, консервация и демонтаж иных объектов теплоснабжения, за исключением тепловых сетей</t>
  </si>
  <si>
    <t>вывод из эксплуатации, консервация и демонтаж иных объектов водоснабжения, за исключением сетей водоснабжения</t>
  </si>
  <si>
    <t>вывод из эксплуатации, консервация и демонтаж иных объектов водоотведения и очистки сточных вод, за исключением сетей водоотведения и очистки сточных вод</t>
  </si>
  <si>
    <t>V</t>
  </si>
  <si>
    <t>ROIV_INFO_LIST_HEAT</t>
  </si>
  <si>
    <t>HEAT_IP_EVENT_CI_STAGE_LIST</t>
  </si>
  <si>
    <t>VSNA_IP_EVENT_CI_STAGE_LIST</t>
  </si>
  <si>
    <t>VOTV_IP_EVENT_CI_STAGE_LIST</t>
  </si>
  <si>
    <t>OTKO_IP_EVENT_CI_STAGE_LIST</t>
  </si>
  <si>
    <t>информация об органе регулирования и перечень организаций</t>
  </si>
  <si>
    <t>в течение 30 дней со дня изменения такой информации</t>
  </si>
  <si>
    <t>производство тепловой энергии</t>
  </si>
  <si>
    <t>на забор и подъём воды</t>
  </si>
  <si>
    <t>на транспортировку сточных вод</t>
  </si>
  <si>
    <t>сбор</t>
  </si>
  <si>
    <t>доклад о результатах правоприменительной практики</t>
  </si>
  <si>
    <t>не позднее 3 дней со дня утверждения доклада</t>
  </si>
  <si>
    <t>передача теплоэнергии по региональным тепловым сетям</t>
  </si>
  <si>
    <t>на водоподготовку</t>
  </si>
  <si>
    <t>очистка сточных вод</t>
  </si>
  <si>
    <t>накопление</t>
  </si>
  <si>
    <t>дата, время и место проведения заседания об установлении тарифов</t>
  </si>
  <si>
    <t>прочие объекты и мероприятия, относимые к регулируемому виду деятельности</t>
  </si>
  <si>
    <t>на транспортировку воды</t>
  </si>
  <si>
    <t>обращение с осадком сточных вод</t>
  </si>
  <si>
    <t>транспортирование</t>
  </si>
  <si>
    <t>информация о принятых решениях об установлении тарифов</t>
  </si>
  <si>
    <t>обработка</t>
  </si>
  <si>
    <t>информация о принятых решениях об утверждении предельного уровня цены на тепловую энергию (мощность)</t>
  </si>
  <si>
    <t>в течение 10 дней со дня принятия соответствующего решения</t>
  </si>
  <si>
    <t>утилизация</t>
  </si>
  <si>
    <t>протокол заседания правления</t>
  </si>
  <si>
    <t>обезвреживание</t>
  </si>
  <si>
    <t>информация о привлечении к ответственности</t>
  </si>
  <si>
    <t>до 30 апреля года, следующего за отчётным годом</t>
  </si>
  <si>
    <t>размещение отходов</t>
  </si>
  <si>
    <t>энергетическая утилизация</t>
  </si>
  <si>
    <t>UNIT_CONNECT_LIST</t>
  </si>
  <si>
    <t>тыс.руб./Гкал/ч</t>
  </si>
  <si>
    <t>тыс.руб.</t>
  </si>
  <si>
    <t>WARM_IP_EVENT_TYPE_LIST</t>
  </si>
  <si>
    <t>VSNA_IP_EVENT_TYPE_LIST</t>
  </si>
  <si>
    <t>VOTV_IP_EVENT_TYPE_LIST</t>
  </si>
  <si>
    <t>OTKO_IP_EVENT_TYPE_LIST</t>
  </si>
  <si>
    <t>Производство тепловой энергии</t>
  </si>
  <si>
    <t>Водоснабжение</t>
  </si>
  <si>
    <t>Обращение с твердыми коммунальными отходами</t>
  </si>
  <si>
    <t>Прочие объекты и мероприятия, относимые к регулируемому виду деятельности</t>
  </si>
  <si>
    <t>ROIV_INFO_LIST_NO_HEAT</t>
  </si>
  <si>
    <t>HEAT_PT_SCHEME</t>
  </si>
  <si>
    <t>Фамилия, имя и отчество (при наличии) руководителя:</t>
  </si>
  <si>
    <t>фамилия</t>
  </si>
  <si>
    <t>Указывается фамилия руководителя в соответствии с паспортными данными физического лица.</t>
  </si>
  <si>
    <t>имя</t>
  </si>
  <si>
    <t>Указывается имя руководителя в соответствии с паспортными данными физического лица.</t>
  </si>
  <si>
    <t>отчество (при наличии)</t>
  </si>
  <si>
    <t>Указывается отчество руководителя в соответствии с паспортными данными физического лица (при наличии).</t>
  </si>
  <si>
    <t xml:space="preserve">Почтовый адрес </t>
  </si>
  <si>
    <t>Указывается наименование субъекта Российской Федерации, муниципального района, города, иного населенного пункта, улицы, номер дома, при необходимости указывается корпус, строение, литера или дополнительная территория._x000D_
Данные указываются согласно наименованиям адресных объектов в ФИАС.</t>
  </si>
  <si>
    <t xml:space="preserve">Адрес места нахождения </t>
  </si>
  <si>
    <t>Справочные телефоны</t>
  </si>
  <si>
    <t>Указывается номер контактного телефона. В случае наличия нескольких номеров телефонов, информация по каждому из них указывается в отдельной строке.</t>
  </si>
  <si>
    <t>Адрес официального сайта органа регулирования тарифов в сети "Интернет"</t>
  </si>
  <si>
    <t>Указывается адрес официального сайта в сети "Интернет". В случае отсутствия официального сайта в сети "Интернет" указывается "Отсутствует".</t>
  </si>
  <si>
    <t>Адрес электронной почты</t>
  </si>
  <si>
    <t>Указывается при наличии.</t>
  </si>
  <si>
    <t>Наименование организации</t>
  </si>
  <si>
    <t>ОГРН (ОГРНИП)</t>
  </si>
  <si>
    <t>Добавить организацию</t>
  </si>
  <si>
    <t>дата</t>
  </si>
  <si>
    <t>время</t>
  </si>
  <si>
    <t>место</t>
  </si>
  <si>
    <t>Добавить заседание</t>
  </si>
  <si>
    <t>Наименование органа тарифного регулирования</t>
  </si>
  <si>
    <t>Заседание правления (коллегии) органа тарифного регулирования, на котором планируется рассмотрение дел об об утверждении предельного уровня цены на тепловую энергию (мощность)</t>
  </si>
  <si>
    <t>Принятые органом тарифного регулирования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t>
  </si>
  <si>
    <t>Добавить должностное лицо</t>
  </si>
  <si>
    <t>Данные об организации, в отношении которой рассмотрено дело об административном правонарушении (общая информация о регулируемой организации и наименование должности)</t>
  </si>
  <si>
    <t xml:space="preserve">Наименование должности лица, в отношении которого рассмотрено дело об административном правонарушении </t>
  </si>
  <si>
    <t>Краткое описание нарушения</t>
  </si>
  <si>
    <t>Результат рассмотрения дела об административном правонарушении</t>
  </si>
  <si>
    <t>Наименование регулируемой организации</t>
  </si>
  <si>
    <t>В поле "Субъект Российской Федерации" указывается наименование субъекта Российской Федерации._x000D_
В поле "Наименование организации" указывается наименование юридического лица согласно уставу организации_x000D_
В поле "ИНН" указывается идентификационный номер налогоплательщика._x000D_
В поле "Краткое описание нарушения" указывается краткое описание нарушения с указанием статьи Кодекса Российской Федерации об административных правонарушениях._x000D_
В поле "Результат рассмотрения дела об административном правонарушении" указывается результат рассмотрения дела об административном правонарушении (с указанием вида административного наказания).</t>
  </si>
  <si>
    <r>
      <t xml:space="preserve">Информация о предоставлении электронного документа в исполнительный орган субъекта Российской Федерации в области государственного регулирования цен (тарифов) </t>
    </r>
    <r>
      <rPr>
        <vertAlign val="superscript"/>
        <sz val="9"/>
        <rFont val="Tahoma"/>
        <family val="2"/>
        <charset val="204"/>
      </rPr>
      <t>2</t>
    </r>
  </si>
  <si>
    <t>Данные электронного документа, подписанного усиленной квалифицированной электронной подписью уполномоченного представителя регулируемой организации</t>
  </si>
  <si>
    <t>Название документа</t>
  </si>
  <si>
    <t>Исходящий номер</t>
  </si>
  <si>
    <t>Дата отправления</t>
  </si>
  <si>
    <t>В колонке "Дата отправления" дата указывается в виде «ДД.ММ.ГГГГ»._x000D_
В колонке «Ссылка на документ» указывается ссылка на электронный документ, подписанный усиленной квалифицированной электронной подписью уполномоченного представителя регулируемой организации, предварительно загруженный в хранилище файлов ФГИС ЕИАС.</t>
  </si>
  <si>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</si>
  <si>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Сведения об изменениях в первоначально опубликованной информации*</t>
  </si>
  <si>
    <t>Сведения</t>
  </si>
  <si>
    <t>Изменения внесены в связи с публикацией МЭР РФ 30.09.2024 прогноза социально-экономического развития Российской Федерации на 2025 год и на плановый период 2026 и 2027 годов</t>
  </si>
  <si>
    <t>Добавить</t>
  </si>
  <si>
    <t>* Лист заполняется в случае, если на Титульном листе в поле "Тип отчета" выбрано значение «Изменения в раскрытой ранее информации».</t>
  </si>
  <si>
    <t>Комментарии</t>
  </si>
  <si>
    <t>Результат проверки</t>
  </si>
  <si>
    <t>Ссылка</t>
  </si>
  <si>
    <t>Причина</t>
  </si>
  <si>
    <t>Статус</t>
  </si>
  <si>
    <t>et_CHANGE_INFO</t>
  </si>
  <si>
    <t>et_Comm</t>
  </si>
  <si>
    <t>et_TERRITORY_AREA</t>
  </si>
  <si>
    <t>et_TERRITORY_MO</t>
  </si>
  <si>
    <t>et_DIFFERENTIATION_VD</t>
  </si>
  <si>
    <t>et_DIFFERENTIATION_AREA</t>
  </si>
  <si>
    <t>et_DIFFERENTIATION_SYSTEM</t>
  </si>
  <si>
    <t>et_ORG_INFO_1</t>
  </si>
  <si>
    <t>et_ORG_INFO_2</t>
  </si>
  <si>
    <t>et_ORG_INFO_3</t>
  </si>
  <si>
    <t>et_ORG_TERRITORY_MO</t>
  </si>
  <si>
    <t>et_ORG_VD</t>
  </si>
  <si>
    <t>et_ED</t>
  </si>
  <si>
    <t>et_TERMS</t>
  </si>
  <si>
    <t>et_IP_MAIN</t>
  </si>
  <si>
    <t>ip_3</t>
  </si>
  <si>
    <t>Добавить реквизиты</t>
  </si>
  <si>
    <t>et_IP_MAIN_PROPERTY</t>
  </si>
  <si>
    <t>et_IP_DETAILED</t>
  </si>
  <si>
    <t>Добавить мероприятие</t>
  </si>
  <si>
    <t>et_IP_DETAILED_OBJECT</t>
  </si>
  <si>
    <t>Добавить источник финансирования</t>
  </si>
  <si>
    <t>et_IP_DETAILED_IST_FIN</t>
  </si>
  <si>
    <t>et_IP_DETAILED_EVENT</t>
  </si>
  <si>
    <t>Добавить объект инфраструктуры</t>
  </si>
  <si>
    <t>et_QRE</t>
  </si>
  <si>
    <t>Добавить цель</t>
  </si>
  <si>
    <t>et_B_FHD20_1_NOT_HEAT</t>
  </si>
  <si>
    <t>Добавить поставщика</t>
  </si>
  <si>
    <t>et_B_FHD20_1_HEAT</t>
  </si>
  <si>
    <t>et_B_FHD20_2, _3, _4</t>
  </si>
  <si>
    <t>Итого по поставщику, в том числе</t>
  </si>
  <si>
    <t>Добавить товар/услугу</t>
  </si>
  <si>
    <t>Добавить способ</t>
  </si>
  <si>
    <t>et_DIFFERENTIATION_TARIFF(_etc)</t>
  </si>
  <si>
    <t>et_DIFFERENTIATION_TARIFF_NOT_HEAT(_etc)</t>
  </si>
  <si>
    <t>et_DIFFERENTIATION_TKO(_etc)</t>
  </si>
  <si>
    <t>Добавить класс ТКО</t>
  </si>
  <si>
    <t>Добавить вид ТКО</t>
  </si>
  <si>
    <t>Добавить технологическую особенность</t>
  </si>
  <si>
    <t>Имя листа</t>
  </si>
  <si>
    <t>Наименование, номер формы</t>
  </si>
  <si>
    <t>ТП</t>
  </si>
  <si>
    <t>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t>
  </si>
  <si>
    <t>Общая информация об организации</t>
  </si>
  <si>
    <t>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t>
  </si>
  <si>
    <t>Форма 1. Информация об организации (общая информация)</t>
  </si>
  <si>
    <t>Договоры</t>
  </si>
  <si>
    <t>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t>
  </si>
  <si>
    <t>Форма 8. Информация об условиях, на которых осуществляется оказание услуг в области обращения с твердыми коммунальными отходами</t>
  </si>
  <si>
    <t>Показатели ФХД</t>
  </si>
  <si>
    <t>Показатели ФХД &gt;20%</t>
  </si>
  <si>
    <t>Форма 11. Информация о расходах на капитальный и текущий ремонт основных средств</t>
  </si>
  <si>
    <t>Форма 5. Информация о расходах на капитальный и текущий ремонт основных средств, расходах на услуги производственного характера, оказываемые по договорам с организациями на проведение ремонтных работ в рамках технологического процесса</t>
  </si>
  <si>
    <t>Показатели КНЭ</t>
  </si>
  <si>
    <t>Форма 6. Информация об основных потребительских характеристиках товаров (услуг), тарифы на которые подлежат регулированию, и их соответствии установленным требованиям</t>
  </si>
  <si>
    <t>PRICE_x000D_
_x000D_
Т-ТЭ | &gt;=25МВт_x000D_
Т-ТЭ | ТСО_x000D_
Резерв мощности</t>
  </si>
  <si>
    <t>Форма 3.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t>
  </si>
  <si>
    <t>PRICE_x000D_
_x000D_
Т-ТН_x000D_
Т-передача ТЭ_x000D_
Т-передача ТН</t>
  </si>
  <si>
    <t>Форма 4. Информация об установленных тарифах на теплоноситель, поставляемый теплоснабжающими организациями потребителям, другим теплоснабжающим организациям, об установленных тарифах на услуги по передаче тепловой энергии, теплоносителя, о тарифах на теплоноситель в виде воды, поставляемый единой теплоснабжающей организацией в ценовых зонах теплоснабжения потребителям и теплоснабжающими организациями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</si>
  <si>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PRICE_x000D_
_x000D_
Т-гор.вода</t>
  </si>
  <si>
    <t>Форма 5. Информация об установленных тарифах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тарифах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</si>
  <si>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PRICE_x000D_
_x000D_
Т-подкл</t>
  </si>
  <si>
    <t>Форма 6. Информация об установленной плате за подключение (технологическое присоединение) к системе теплоснабжения,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</si>
  <si>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REQUEST_x000D_
_x000D_
Т-ТЭ | &gt;=25МВт_x000D_
Т-ТЭ | ТСО_x000D_
Резерв мощности</t>
  </si>
  <si>
    <t>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t>
  </si>
  <si>
    <t>REQUEST_x000D_
_x000D_
Т-ТН_x000D_
Т-передача ТЭ_x000D_
Т-передача ТН</t>
  </si>
  <si>
    <t>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t>
  </si>
  <si>
    <t>REQUEST_x000D_
_x000D_
Т-гор.вода</t>
  </si>
  <si>
    <t>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</si>
  <si>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REQUEST_x000D_
_x000D_
Т-подкл</t>
  </si>
  <si>
    <t>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t>
  </si>
  <si>
    <t>PRICE_x000D_
_x000D_
ХВС. Т-пит_x000D_
ХВС. Т-тех_x000D_
ХВС. Т-транс_x000D_
ХВС. Т-подвоз</t>
  </si>
  <si>
    <t>Форма 2. Информация_x000D_
о тарифах в сфере холодного водоснабжения на товары (услуги) организации холодного водоснабжения, подлежащих регулированию</t>
  </si>
  <si>
    <t>PRICE_x000D_
_x000D_
ХВС. Т-подкл</t>
  </si>
  <si>
    <t>Форма 3. Информация об установленных тарифах на подключение (технологическое присоединение) к централизованной системе холодного водоснабжения</t>
  </si>
  <si>
    <t>REQUEST_x000D_
_x000D_
ХВС. Т-пит_x000D_
ХВС. Т-тех_x000D_
ХВС. Т-транс_x000D_
ХВС. Т-подвоз</t>
  </si>
  <si>
    <t>Форма 13. Информация о предложении организации холодного водоснабжения об установлении расчетной величины тарифов в сфере холодного водоснабжения</t>
  </si>
  <si>
    <t>REQUEST_x000D_
_x000D_
ХВС. Т-подкл</t>
  </si>
  <si>
    <t>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t>
  </si>
  <si>
    <t>PRICE_x000D_
_x000D_
ГВС. Т-гор.вода_x000D_
ГВС. Т-транс</t>
  </si>
  <si>
    <t>Форма 2. Информация о тарифах в сфере горячего водоснабжения на товары (услуги) организации горячего водоснабжения, подлежащих регулированию</t>
  </si>
  <si>
    <t>PRICE_x000D_
_x000D_
ГВС. Т-подкл</t>
  </si>
  <si>
    <t>Форма 3. Информация об установленных тарифах на подключение (технологическое присоединение) к централизованной системе горячего водоснабжения</t>
  </si>
  <si>
    <t>REQUEST_x000D_
_x000D_
ГВС. Т-гор.вода_x000D_
ГВС. Т-транс</t>
  </si>
  <si>
    <t>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t>
  </si>
  <si>
    <t>REQUEST_x000D_
_x000D_
ГВС. Т-подкл</t>
  </si>
  <si>
    <t>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t>
  </si>
  <si>
    <t>PRICE_x000D_
_x000D_
ВО. Т-во_x000D_
ВО. Т-транс</t>
  </si>
  <si>
    <t>Форма 2. Информация о тарифах в сфере водоотведения на товары (услуги) организации водоотведения, подлежащих регулированию</t>
  </si>
  <si>
    <t>PRICE_x000D_
_x000D_
ВО. Т-подкл</t>
  </si>
  <si>
    <t>Форма 3.  Информация об установленных тарифах на подключение (технологическое присоединение) к централизованной системе водоотведения</t>
  </si>
  <si>
    <t>REQUEST_x000D_
_x000D_
ВО. Т-во_x000D_
ВО. Т-транс</t>
  </si>
  <si>
    <t>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t>
  </si>
  <si>
    <t>REQUEST_x000D_
_x000D_
ВО. Т-подкл</t>
  </si>
  <si>
    <t>Форма 14. Информация о предложении организации водоотведения расчетной величины тарифов на подключение к централизованной системе водоотведения</t>
  </si>
  <si>
    <t>Сведения о закупках</t>
  </si>
  <si>
    <t>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t>
  </si>
  <si>
    <t>Форма 9.  Информация о способах приобретения, стоимости и об объемах товаров, работ и услуг, необходимых организации для осуществления регулируемых видов деятельности</t>
  </si>
  <si>
    <t>Порядок ТП</t>
  </si>
  <si>
    <t>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t>
  </si>
  <si>
    <t>Общая информация по ВД</t>
  </si>
  <si>
    <t>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t>
  </si>
  <si>
    <t>ИП_x000D_
ИП. Детализация_x000D_
ИП. Финансовый план_x000D_
ИП. КНЭ</t>
  </si>
  <si>
    <t>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t>
  </si>
  <si>
    <t>Форма 7. Информация об инвестиционных программах и отчетах об их реализации (в части регулируемых видов деятельности)</t>
  </si>
  <si>
    <t>пункт НПА</t>
  </si>
  <si>
    <t>подпункт НПА</t>
  </si>
  <si>
    <t>состав пункта</t>
  </si>
  <si>
    <t>описание парметров</t>
  </si>
  <si>
    <t>номер пункта</t>
  </si>
  <si>
    <t>описание параметров</t>
  </si>
  <si>
    <t>описание к листу Общая информация об организации</t>
  </si>
  <si>
    <t>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t>
  </si>
  <si>
    <t>В случае если регулируемыми организациями оказываются услуги по холодному водоснабжению по нескольким технологически не связанным между собой централизованным системам холодного водоснабжения, и если в отношении указанных систем устанавливаются различные тарифы в сфере холодного водоснабжения, то информация раскрывается отдельно по каждой централизованной системе холодного водоснабжения.</t>
  </si>
  <si>
    <t>В случае если регулируемыми организациями оказываются услуги по горячему водоснабжению по нескольким технологически не связанным между собой централизованным системам горячего водоснабжения, и если в отношении указанных систем устанавливаются различные тарифы в сфере горячего водоснабжения, то информация раскрывается отдельно по каждой централизованной системе горячего водоснабжения.</t>
  </si>
  <si>
    <t>В случае если регулируемыми организациями оказываются услуги по водоотведению по нескольким технологически не связанным между собой централизованным системам водоотведения, и если в отношении указанных систем устанавливаются различные тарифы в сфере водоотведения, то информация раскрывается отдельно по каждой централизованной системе водоотведения.</t>
  </si>
  <si>
    <t>66</t>
  </si>
  <si>
    <t>а</t>
  </si>
  <si>
    <t>Количество поданных заявок</t>
  </si>
  <si>
    <t xml:space="preserve">Количество поданных заявлений </t>
  </si>
  <si>
    <t>Указывается количество поданных заявок на подключение (технологическое присоединение) к системе теплоснабжения в течение отчетного квартала.</t>
  </si>
  <si>
    <t>б</t>
  </si>
  <si>
    <t>Количество рассмотренных заявок</t>
  </si>
  <si>
    <t xml:space="preserve">Количество исполненных заявлений </t>
  </si>
  <si>
    <t>Указывается количество исполненных заявок на подключение (технологическое присоединение) к системе теплоснабжения в течение отчетного квартала.</t>
  </si>
  <si>
    <t>в</t>
  </si>
  <si>
    <t>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t>
  </si>
  <si>
    <t>Количество заявлений о заключении договоров о подключении (технологическом присоединении), по которым отказано в заключении договора о подключении (технологическом присоединении)</t>
  </si>
  <si>
    <t>Указывается количество заявок с решением об отказе в течение отчетного квартала.</t>
  </si>
  <si>
    <t>Причины отказа в заключении договора о подключении (технологическом присоединении) к системе теплоснабжения</t>
  </si>
  <si>
    <t>Указывается текстовое описание причин принятия решений._x000D_
Не заполняется в случае, если решения об отказе в течение отчетного периода не принимались.</t>
  </si>
  <si>
    <t>г</t>
  </si>
  <si>
    <t>Резерв мощности источников тепловой энергии, входящих в систему теплоснабжения, в течение одного квартала, в том числе:</t>
  </si>
  <si>
    <t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t>
  </si>
  <si>
    <t>Выручка от регулируемого вида деятельности с распределением по видам деятельности</t>
  </si>
  <si>
    <t>Выручка от регулируемых видов деятельности в сфере холодного водоснабжения</t>
  </si>
  <si>
    <t>Выручка от регулируемых видов деятельности в сфере горячего водоснабжения</t>
  </si>
  <si>
    <t>Выручка от регулируемых видов деятельности в сфере водоотведения</t>
  </si>
  <si>
    <t>Указывается выручка от регулируемого вида деятельности с распределением по видам деятельности.</t>
  </si>
  <si>
    <t>Указывается выручка с распределением по видам деятельности.</t>
  </si>
  <si>
    <t>Себестоимость производимых товаров (оказываемых услуг) по регулируемому виду деятельности, включая:</t>
  </si>
  <si>
    <t>Себестоимость производимых товаров (оказываемых услуг) по регулируемым видам деятельности в сфере холодного водоснабжения, включая:</t>
  </si>
  <si>
    <t>Себестоимость производимых товаров (оказываемых услуг) по регулируемым видам деятельности в сфере горячего водоснабжения, включая:</t>
  </si>
  <si>
    <t>Себестоимость производимых товаров (оказываемых услуг) по регулируемым видам деятельности в сфере водоотведения, включая:</t>
  </si>
  <si>
    <t>Указывается суммарная себестоимость производимых товаров.</t>
  </si>
  <si>
    <t>Расходы на приобретаемую тепловую энергию (мощность), теплоноситель</t>
  </si>
  <si>
    <t>Расходы на оплату холодной воды, приобретаемой у других организаций для последующей подачи потребителям</t>
  </si>
  <si>
    <t>Расходы на приобретаемую тепловую энергию (мощность), используемую для горячего водоснабжения</t>
  </si>
  <si>
    <t>Расходы на оплату услуг по приему, транспортировке и очистке сточных вод другими организациями</t>
  </si>
  <si>
    <t>Расходы на топливо с указанием по каждому виду топлива стоимости (за единицу объема), объема и способа его приобретения, стоимости его доставки</t>
  </si>
  <si>
    <t>Указываются суммарные расходы на приобретение топлива всех видов.</t>
  </si>
  <si>
    <t>Расходы на тепловую энергию, производимую с применением собственных источников и используемую для горячего водоснабжения</t>
  </si>
  <si>
    <t>Расходы на приобретаемую холодную воду, используемую для горячего водоснабжения</t>
  </si>
  <si>
    <t>Расходы на холодную воду, получаемую с применением собственных источников водозабора (скважин) и используемую для горячего водоснабжения</t>
  </si>
  <si>
    <t>Расходы на приобретаемую электрическую энергию (мощность), используемую в технологическом процессе</t>
  </si>
  <si>
    <t>2.5.1</t>
  </si>
  <si>
    <t>Средневзвешенная стоимость 1 кВт.ч (с учетом мощности)</t>
  </si>
  <si>
    <t>2.5.2</t>
  </si>
  <si>
    <t>Объём приобретения электрической энергии</t>
  </si>
  <si>
    <t>Расходы на приобретение холодной воды, используемой в технологическом процессе</t>
  </si>
  <si>
    <t>Расходы на химические реагенты, используемые в технологическом процессе</t>
  </si>
  <si>
    <t>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t>
  </si>
  <si>
    <t>Указывается общая сумма расходов на оплату труда и отчислений на социальные нужды основного производственного персонала.</t>
  </si>
  <si>
    <t>9.1</t>
  </si>
  <si>
    <t>2.6.1</t>
  </si>
  <si>
    <t>Расходы на оплату труда основного производственного персонала</t>
  </si>
  <si>
    <t>9.2</t>
  </si>
  <si>
    <t>2.6.2</t>
  </si>
  <si>
    <t>Страховые взносы на обязательное социальное страхование, выплачиваемые из фонда оплаты труда основного производственного персонала</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</si>
  <si>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t>
  </si>
  <si>
    <t>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t>
  </si>
  <si>
    <t>Указывается общая сумма расходов на оплату труда и отчислений на социальные нужды административно-управленческого персонала.</t>
  </si>
  <si>
    <t>10.1</t>
  </si>
  <si>
    <t>2.7.1</t>
  </si>
  <si>
    <t>Расходы на оплату труда административно-управленческого персонала</t>
  </si>
  <si>
    <t>Расходы на оплату труда административно-управленческого персонала, в том числе:</t>
  </si>
  <si>
    <t>10.2</t>
  </si>
  <si>
    <t>2.7.2</t>
  </si>
  <si>
    <t>Страховые взносы на обязательное социальное страхование, выплачиваемые из фонда оплаты труда административно-управленческого персонала</t>
  </si>
  <si>
    <t>Расходы на амортизацию основных средств и нематериальных активов</t>
  </si>
  <si>
    <t>11.1</t>
  </si>
  <si>
    <t>2.8.1</t>
  </si>
  <si>
    <t>Расходы на амортизацию основных средств</t>
  </si>
  <si>
    <t>11.2</t>
  </si>
  <si>
    <t>2.8.2</t>
  </si>
  <si>
    <t>Расходы на амортизацию нематериальных активов</t>
  </si>
  <si>
    <t>Расходы на аренду имущества, используемого для осуществления регулируемого вида деятельности</t>
  </si>
  <si>
    <t>Расходы на аренду имущества, используемого для осуществления регулируемых видов деятельности в сфере холодного водоснабжения</t>
  </si>
  <si>
    <t>Расходы на аренду имущества, используемого для осуществления регулируемых видов деятельности в сфере горячего водоснабжения</t>
  </si>
  <si>
    <t>Расходы на аренду имущества, используемого для осуществления регулируемых видов деятельности в сфере водоотведения</t>
  </si>
  <si>
    <t>2.10</t>
  </si>
  <si>
    <t>Общепроизводственные расходы, в том числе:</t>
  </si>
  <si>
    <t>Указывается общая сумма общепроизводственных расходов.</t>
  </si>
  <si>
    <t>13.1</t>
  </si>
  <si>
    <t>2.10.1</t>
  </si>
  <si>
    <t>Расходы на текущий ремонт</t>
  </si>
  <si>
    <t>Указываются расходы на текущий ремонт, отнесенные к общепроизводственным расходам.</t>
  </si>
  <si>
    <t>13.2</t>
  </si>
  <si>
    <t>2.10.2</t>
  </si>
  <si>
    <t>Расходы на капитальный ремонт</t>
  </si>
  <si>
    <t>Указываются расходы на капитальный ремонт, отнесенные к общепроизводственным расходам.</t>
  </si>
  <si>
    <t>2.11</t>
  </si>
  <si>
    <t>Общехозяйственные расходы, в том числе:</t>
  </si>
  <si>
    <t>Указывается общая сумма общехозяйственных расходов.</t>
  </si>
  <si>
    <t>14.1</t>
  </si>
  <si>
    <t>2.11.1</t>
  </si>
  <si>
    <t>2.9.1</t>
  </si>
  <si>
    <t>Указываются расходы на текущий ремонт, отнесенные к общехозяйственным расходам.</t>
  </si>
  <si>
    <t>14.2</t>
  </si>
  <si>
    <t>2.11.2</t>
  </si>
  <si>
    <t>2.9.2</t>
  </si>
  <si>
    <t>Указываются расходы на капитальный ремонт, отнесенные к общехозяйственным расходам.</t>
  </si>
  <si>
    <t>2.12</t>
  </si>
  <si>
    <t>Расходы на капитальный и текущий ремонт основных средств</t>
  </si>
  <si>
    <t>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</si>
  <si>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В том числе информацию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t>
  </si>
  <si>
    <t>15.1</t>
  </si>
  <si>
    <t>2.12.1</t>
  </si>
  <si>
    <t>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t>
  </si>
  <si>
    <t>2.13</t>
  </si>
  <si>
    <t xml:space="preserve">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 </t>
  </si>
  <si>
    <t>Расходы на услуги производственного характера, оказываемые по договорам с организациями на проведение регламентных работ в рамках технологического процесса</t>
  </si>
  <si>
    <t>16.1</t>
  </si>
  <si>
    <t>2.13.1</t>
  </si>
  <si>
    <t>2.14</t>
  </si>
  <si>
    <t>Прочие расходы, которые подлежат отнесению на регулируемые виды деятельности в соответствии с законодательством Российской Федерации</t>
  </si>
  <si>
    <t>Прочие расходы, которые подлежат отнесению на регулируемые виды деятельности в сфере холодного водоснабжения в соответствии с Основами ценообразования в сфере водоснабжения и водоотведения, утвержденными постановлением Правительства Российской Федерации от 13 мая 2013 г. N 406 "О государственном регулировании тарифов в сфере водоснабжения и водоотведения" (далее - Основы ценообразования в сфере водоснабжения и водоотведения)</t>
  </si>
  <si>
    <t>Прочие расходы, которые отнесены на регулируемые виды деятельности в сфере горячего водоснабжения, в соответствии с Основами ценообразования в сфере водоснабжения и водоотведения</t>
  </si>
  <si>
    <t>Прочие расходы, которые подлежат отнесению на регулируемые виды деятельности в сфере водоотведения в соответствии с Основами ценообразования в сфере водоснабжения и водоотведения</t>
  </si>
  <si>
    <t>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t>
  </si>
  <si>
    <t>Указывается общая сумма прочих расходов, которые подлежат отнесению на регулируемые виды деятельности в соответствии с основами ценообразования в сфере водоснабжения и водоотведения.</t>
  </si>
  <si>
    <t>д</t>
  </si>
  <si>
    <t>Валовая прибыль (убытки) от реализации товаров и оказания услуг по регулируемому виду деятельности</t>
  </si>
  <si>
    <t>Чистая прибыль, полученная от регулируемого вида деятельности, в том числе:</t>
  </si>
  <si>
    <t>Чистая прибыль, полученная от регулируемого вида деятельности в сфере холодного водоснабжения, в том числе:</t>
  </si>
  <si>
    <t>Чистая прибыль, полученная от регулируемого вида деятельности в сфере горячего водоснабжения, в том числе:</t>
  </si>
  <si>
    <t>Чистая прибыль, полученная от регулируемого вида деятельности в сфере водоотведения, в том числе:</t>
  </si>
  <si>
    <t>Размер расходования чистой прибыли на финансирование мероприятий, предусмотренных инвестиционной программой регулируемой организации</t>
  </si>
  <si>
    <t>Изменение стоимости основных фондов за счет их ввода в эксплуатацию (вывода из эксплуатации)</t>
  </si>
  <si>
    <t>Указываются общее изменение стоимости основных фондов за счет их ввода в эксплуатацию и вывода из эксплуатации.</t>
  </si>
  <si>
    <t>Изменение стоимости основных фондов за счет их ввода в эксплуатацию</t>
  </si>
  <si>
    <t>5.1.2</t>
  </si>
  <si>
    <t>Изменение стоимости основных фондов за счет их вывода в эксплуатацию</t>
  </si>
  <si>
    <t>Изменение стоимости основных фондов за счет их переоценки</t>
  </si>
  <si>
    <t>Валовая прибыль (убытки) от продажи товаров и услуг по регулируемым видам деятельности в сфере холодного водоснабжения</t>
  </si>
  <si>
    <t>Валовая прибыль (убытки) от продажи товаров и услуг по регулируемым видам деятельности в сфере горячего водоснабжения</t>
  </si>
  <si>
    <t>Валовая прибыль (убытки) от продажи товаров и услуг по регулируемым видам деятельности в сфере водоотведения</t>
  </si>
  <si>
    <t>е</t>
  </si>
  <si>
    <t>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</si>
  <si>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водоснабжения и (или) водоотведения которой превышает 80 процентов совокупной выручки за отчетный год.</t>
  </si>
  <si>
    <t>Указывается ссылка на документ, предварительно загруженный в хранилище файлов ФГИС ЕИАС._x000D_
Раскрывается регулируемой организацией, выручка от регулируемых видов деятельности в сфере водоотведения и (или) водоотведения которой превышает 80 процентов совокупной выручки за отчетный год.</t>
  </si>
  <si>
    <t>ж</t>
  </si>
  <si>
    <t>Объём поднятой воды</t>
  </si>
  <si>
    <t>з</t>
  </si>
  <si>
    <t>Объём покупной воды</t>
  </si>
  <si>
    <t>и</t>
  </si>
  <si>
    <t>Объём воды, пропущенной через очистные сооружения</t>
  </si>
  <si>
    <t>к</t>
  </si>
  <si>
    <t>Объём отпущенной потребителям воды, в том числе:</t>
  </si>
  <si>
    <t>Указывается общий объем отпущенной потребителям воды.</t>
  </si>
  <si>
    <t>Объём отпущенной потребителям воды, определенный по приборам учета</t>
  </si>
  <si>
    <t>Объём отпущенной потребителям воды, определенный расчетным способом</t>
  </si>
  <si>
    <t>10.2.1</t>
  </si>
  <si>
    <t>Объём отпущенной потребителям воды, определенный по нормативам потребления коммунальных услуг</t>
  </si>
  <si>
    <t>10.2.2</t>
  </si>
  <si>
    <t xml:space="preserve">Объём отпущенной потребителям воды, определенный по нормативам потребления коммунальных ресурсов </t>
  </si>
  <si>
    <t>л</t>
  </si>
  <si>
    <t>Потери воды в сетях</t>
  </si>
  <si>
    <t>Объём приобретаемой холодной воды, используемой для горячего водоснабжения</t>
  </si>
  <si>
    <t>Объём холодной воды, получаемой с применением собственных источников водозабора (скважин) и используемой для горячего водоснабжения</t>
  </si>
  <si>
    <t>Объём приобретаемой тепловой энергии (мощности), используемой для горячего водоснабжения</t>
  </si>
  <si>
    <t>Объём тепловой энергии, производимой с применением собственных источников и используемой для горячего водоснабжения</t>
  </si>
  <si>
    <t>Потери горячей воды в сетях (процентов)</t>
  </si>
  <si>
    <t>Объём сточных вод, принятых от потребителей</t>
  </si>
  <si>
    <t>Объём сточных вод, принятых от других регулируемых организаций, осуществляющих водоотведение и (или) очистку сточных вод</t>
  </si>
  <si>
    <t>Объём сточных вод, пропущенных через очистные сооружения</t>
  </si>
  <si>
    <t>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t>
  </si>
  <si>
    <t>Тепловая нагрузка по договорам, заключенным в рамках осуществления регулируемых видов деятельности</t>
  </si>
  <si>
    <t>Регулируемыми организациями указывается информация по договорам, заключенным в рамках осуществления регулируемых видов деятельности</t>
  </si>
  <si>
    <t>Объем вырабатываемой регулируемой организацией тепловой энергии в рамках осуществления регулируемых видов деятельности</t>
  </si>
  <si>
    <t>Регулируемыми организациями указывается информация тепловой энергии, выработанной в рамках осуществления регулируемых видов деятельности.</t>
  </si>
  <si>
    <t>Объем приобретаемой регулируемой организацией тепловой энергии в рамках осуществления регулируемых видов деятельности</t>
  </si>
  <si>
    <t>Информация указывается только едиными теплоснабжающими организациями.</t>
  </si>
  <si>
    <t>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t>
  </si>
  <si>
    <t>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t>
  </si>
  <si>
    <t xml:space="preserve">По приборам учёта </t>
  </si>
  <si>
    <t>10.1.1</t>
  </si>
  <si>
    <t>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t>
  </si>
  <si>
    <t>Расчётным путём</t>
  </si>
  <si>
    <t>10.3</t>
  </si>
  <si>
    <t>По нормативам потребления коммунальных услуг и нормативам потребления коммунальных ресурсов</t>
  </si>
  <si>
    <t>м</t>
  </si>
  <si>
    <t>Нормативы технологических потерь при передаче тепловой энергии, теплоносителя по тепловым сетям, утвержденные уполномоченным органом</t>
  </si>
  <si>
    <t>н</t>
  </si>
  <si>
    <t>о</t>
  </si>
  <si>
    <t>п</t>
  </si>
  <si>
    <t>Удельный расход электрической энергии на подачу воды в сеть</t>
  </si>
  <si>
    <t>Расход воды на собственные нужды, в том числе:</t>
  </si>
  <si>
    <t>Указывается доля общего расхода воды на собственные нужны от объема отпуска воды потребителям.</t>
  </si>
  <si>
    <t>Расход воды на хозяйственно-бытовые нужды</t>
  </si>
  <si>
    <t>Указывается доля расхода воды на хозяйственно-бытовые нужны от объема отпуска воды потребителям.</t>
  </si>
  <si>
    <t>Показатель использования производственных объектов (по объему перекачки), в том числе:</t>
  </si>
  <si>
    <t>Указывается суммарный показатель использования по всем производственным объектам как процент объема перекачки по отношению к пиковому дню отчетного года.</t>
  </si>
  <si>
    <t>р</t>
  </si>
  <si>
    <t>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</si>
  <si>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t>
  </si>
  <si>
    <t>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t>
  </si>
  <si>
    <t>т</t>
  </si>
  <si>
    <t>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</si>
  <si>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Регулируемыми организациями указывается информация с по договорам, заключенным в рамках осуществления регулируемой деятельности.</t>
  </si>
  <si>
    <t>у</t>
  </si>
  <si>
    <t>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t>
  </si>
  <si>
    <t>ф</t>
  </si>
  <si>
    <t>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t>
  </si>
  <si>
    <t>19.1</t>
  </si>
  <si>
    <t>Информация о показателях физического износа объектов теплоснабжения</t>
  </si>
  <si>
    <t>19.2</t>
  </si>
  <si>
    <t>Информация о показателях энергетической эффективности объектов теплоснабжения</t>
  </si>
  <si>
    <t>27/44</t>
  </si>
  <si>
    <t>68</t>
  </si>
  <si>
    <t>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t>
  </si>
  <si>
    <t>Сведения об условиях публичных договоров на оказание регулируемых услуг в области обращения с твердыми коммунальными отходами</t>
  </si>
  <si>
    <t>Форма 4. Информация об установленных тарифах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об установленных тарифах на тепловую энергию (мощность), поставляемую теплоснабжающими организациями потребителям, другим теплоснабжающим организациям, об установленной плате за услуги по поддержанию резервной тепловой мощности при отсутствии потребления тепловой энергии  &lt;1&gt;</t>
  </si>
  <si>
    <t>Период действия тарифа</t>
  </si>
  <si>
    <t>Добавить наименование системы теплоснабжения</t>
  </si>
  <si>
    <t>pt_vtar_3</t>
  </si>
  <si>
    <t xml:space="preserve">Для каждого вида тарифа в сфере теплоснабжения форма заполняется отдельно. При размещении информации по данной форме дополнительно указываются: наименование органа регулирования тарифов, принявшего решение об утверждении тарифа, дата и номер документа об утверждении тарифа, источник официального опубликования решения._x000D_
</t>
  </si>
  <si>
    <t>По данной форме раскрывается в том числе информация об индикативном предельном уровне цены на тепловую энергию (мощность), которые определены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постановлением Правительства Российской Федерации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 о графике поэтапного равномерного доведения предельного уровня цены на тепловую энергию (мощность) до уровня, определяемого в соответствии с указанными Правилами., а также  информация о тарифах на товары (услуги) в сфере теплоснабжения в случаях, указанных в частях 12.1 – 12.4 статьи 10 Федерального закона от 27.07.2010 № 190-ФЗ «О теплоснабжении» (далее – Федеральный закон № 190-ФЗ), теплоснабжающей организации, теплосетевой организации в ценовых зонах теплоснабжения.</t>
  </si>
  <si>
    <t>Цвет</t>
  </si>
  <si>
    <t>Раздел</t>
  </si>
  <si>
    <t>доп.листы</t>
  </si>
  <si>
    <t>готовность</t>
  </si>
  <si>
    <t>ИП</t>
  </si>
  <si>
    <t>REGION_ID</t>
  </si>
  <si>
    <t>REGION_NAME</t>
  </si>
  <si>
    <t>RST_ORG_ID</t>
  </si>
  <si>
    <t>ORG_NAME</t>
  </si>
  <si>
    <t>INN_NAME</t>
  </si>
  <si>
    <t>KPP_NAME</t>
  </si>
  <si>
    <t>ORG_START_DATE</t>
  </si>
  <si>
    <t>ORG_END_DATE</t>
  </si>
  <si>
    <t>SPHERE</t>
  </si>
  <si>
    <t>2645</t>
  </si>
  <si>
    <t>26360342</t>
  </si>
  <si>
    <t>АО "Автоколонна 1228"</t>
  </si>
  <si>
    <t>7202000912</t>
  </si>
  <si>
    <t>26360344</t>
  </si>
  <si>
    <t>АО "Автотеплотехник"</t>
  </si>
  <si>
    <t>7202031519</t>
  </si>
  <si>
    <t>26320038</t>
  </si>
  <si>
    <t>АО "Аэропорт Рощино"</t>
  </si>
  <si>
    <t>7204660086</t>
  </si>
  <si>
    <t>31077487</t>
  </si>
  <si>
    <t>АО "БЕРЕЗКАГАЗ ЮГРА"</t>
  </si>
  <si>
    <t>8601036768</t>
  </si>
  <si>
    <t>860101001</t>
  </si>
  <si>
    <t>31-10-2008 00:00:00</t>
  </si>
  <si>
    <t>26360435</t>
  </si>
  <si>
    <t>АО "ПРОДО Тюменский бройлер"</t>
  </si>
  <si>
    <t>7224005872</t>
  </si>
  <si>
    <t>722401001</t>
  </si>
  <si>
    <t>26375346</t>
  </si>
  <si>
    <t>АО "Птицефабрика "Боровская"</t>
  </si>
  <si>
    <t>7224008030</t>
  </si>
  <si>
    <t>26607640</t>
  </si>
  <si>
    <t>АО "Россети Тюмень"</t>
  </si>
  <si>
    <t>8602060185</t>
  </si>
  <si>
    <t>860201001</t>
  </si>
  <si>
    <t>26320020</t>
  </si>
  <si>
    <t>АО "СУЭНКО"</t>
  </si>
  <si>
    <t>7205011944</t>
  </si>
  <si>
    <t>26505193</t>
  </si>
  <si>
    <t>АО "Сибнефтемаш"</t>
  </si>
  <si>
    <t>7224009228</t>
  </si>
  <si>
    <t>26360369</t>
  </si>
  <si>
    <t>АО "Тюменский комбинат хлебопродуктов"</t>
  </si>
  <si>
    <t>7204003683</t>
  </si>
  <si>
    <t>26776132</t>
  </si>
  <si>
    <t>АО "Тюменский электромеханический завод"</t>
  </si>
  <si>
    <t>7204003108</t>
  </si>
  <si>
    <t>30919929</t>
  </si>
  <si>
    <t>АО "УСТЭК"</t>
  </si>
  <si>
    <t>7203420973</t>
  </si>
  <si>
    <t>01-06-2017 00:00:00</t>
  </si>
  <si>
    <t>26800381</t>
  </si>
  <si>
    <t>АО "Уральская теплосетевая компания"</t>
  </si>
  <si>
    <t>7203203418</t>
  </si>
  <si>
    <t>30794853</t>
  </si>
  <si>
    <t>АО "ЮТэйр-Инжиниринг"</t>
  </si>
  <si>
    <t>7204002009</t>
  </si>
  <si>
    <t>28856006</t>
  </si>
  <si>
    <t>АО "Юграавиа"</t>
  </si>
  <si>
    <t>8601053210</t>
  </si>
  <si>
    <t>31077321</t>
  </si>
  <si>
    <t>АО АРКТИКГАЗ</t>
  </si>
  <si>
    <t>8904056643</t>
  </si>
  <si>
    <t>890401001</t>
  </si>
  <si>
    <t>18-04-2008 00:00:00</t>
  </si>
  <si>
    <t>26360358</t>
  </si>
  <si>
    <t>АО Нижневартовская ГРЭС</t>
  </si>
  <si>
    <t>8620018330</t>
  </si>
  <si>
    <t>785150001</t>
  </si>
  <si>
    <t>10-12-2007 00:00:00</t>
  </si>
  <si>
    <t>30934103</t>
  </si>
  <si>
    <t>АСУ СОН ТО "Винзилинский дом социального обслуживания"</t>
  </si>
  <si>
    <t>7224013707</t>
  </si>
  <si>
    <t>25-04-1996 00:00:00</t>
  </si>
  <si>
    <t>31172028</t>
  </si>
  <si>
    <t>АСУСОН ТО "Детский психоневрологический дом-интернат"</t>
  </si>
  <si>
    <t>7224012164</t>
  </si>
  <si>
    <t>26-11-2007 00:00:00</t>
  </si>
  <si>
    <t>31268451</t>
  </si>
  <si>
    <t>АСУСОН ТО "Таловский дом социального обслуживания"</t>
  </si>
  <si>
    <t>7217004074</t>
  </si>
  <si>
    <t>720501001</t>
  </si>
  <si>
    <t>26360390</t>
  </si>
  <si>
    <t>АСУСОН ТО "Ялуторовский дом социального обслуживания"</t>
  </si>
  <si>
    <t>7207000070</t>
  </si>
  <si>
    <t>720701001</t>
  </si>
  <si>
    <t>26360450</t>
  </si>
  <si>
    <t>АУ СОН ТО и ДПО  «Региональный центр активного долголетия, геронтологии и реабилитации»</t>
  </si>
  <si>
    <t>7224037151</t>
  </si>
  <si>
    <t>19-10-2009 00:00:00</t>
  </si>
  <si>
    <t>26375285</t>
  </si>
  <si>
    <t>Армизонское УМПЖКХ</t>
  </si>
  <si>
    <t>7209005331</t>
  </si>
  <si>
    <t>722001001</t>
  </si>
  <si>
    <t>26360397</t>
  </si>
  <si>
    <t>ГАУЗ ТО "Ялуторовский санаторий-профилакторий "Светлый"</t>
  </si>
  <si>
    <t>7207003603</t>
  </si>
  <si>
    <t>ДЕПАРТАМЕНТ ТАРИФНОЙ И ЦЕНОВОЙ ПОЛИТИКИ ТЮМЕНСКОЙ ОБЛАСТИ</t>
  </si>
  <si>
    <t>7202187072</t>
  </si>
  <si>
    <t>28792615</t>
  </si>
  <si>
    <t>Дублирующая карточка основной организации АО "СУЭНКО"</t>
  </si>
  <si>
    <t>26810875</t>
  </si>
  <si>
    <t>ЗАО "Завод "Сантехкомплект"</t>
  </si>
  <si>
    <t>7203039648</t>
  </si>
  <si>
    <t>18-04-2011 00:00:00</t>
  </si>
  <si>
    <t>31206252</t>
  </si>
  <si>
    <t>ИП Лоось Татьяна Ивановна</t>
  </si>
  <si>
    <t>722002784109</t>
  </si>
  <si>
    <t>26375326</t>
  </si>
  <si>
    <t>ИП Фомин Н.П.</t>
  </si>
  <si>
    <t>721700181300</t>
  </si>
  <si>
    <t>26504124</t>
  </si>
  <si>
    <t>Ишимское РНУ АО "Транснефть- Западная Сибирь"</t>
  </si>
  <si>
    <t>5502020634</t>
  </si>
  <si>
    <t>720543001</t>
  </si>
  <si>
    <t>26433355</t>
  </si>
  <si>
    <t>Каскаринское МУП ЖКХ</t>
  </si>
  <si>
    <t>7224011989</t>
  </si>
  <si>
    <t>30852439</t>
  </si>
  <si>
    <t>МАОУ "Нижнеаремзянская СОШ"</t>
  </si>
  <si>
    <t>7223009345</t>
  </si>
  <si>
    <t>720601001</t>
  </si>
  <si>
    <t>26777765</t>
  </si>
  <si>
    <t>МАОУ Байкаловская СОШ</t>
  </si>
  <si>
    <t>7223009384</t>
  </si>
  <si>
    <t>30797628</t>
  </si>
  <si>
    <t>МАОУ Сетовская СОШ</t>
  </si>
  <si>
    <t>7206026083</t>
  </si>
  <si>
    <t>26375310</t>
  </si>
  <si>
    <t>МП "Заводоуковское ЖКХ"</t>
  </si>
  <si>
    <t>7215009599</t>
  </si>
  <si>
    <t>28272431</t>
  </si>
  <si>
    <t>МП "Строй-проект" Ялуторовского района</t>
  </si>
  <si>
    <t>7207008129</t>
  </si>
  <si>
    <t>28003540</t>
  </si>
  <si>
    <t>МП "Стройсервис"</t>
  </si>
  <si>
    <t>7229008997</t>
  </si>
  <si>
    <t>26433646</t>
  </si>
  <si>
    <t>МУЖЭП с.Онохино</t>
  </si>
  <si>
    <t>7224031897</t>
  </si>
  <si>
    <t>26375344</t>
  </si>
  <si>
    <t>МУП "Байкаловский ККП"</t>
  </si>
  <si>
    <t>7223000825</t>
  </si>
  <si>
    <t>19-06-2000 00:00:00</t>
  </si>
  <si>
    <t>26375364</t>
  </si>
  <si>
    <t>МУП "РКХ-2"</t>
  </si>
  <si>
    <t>7226004881</t>
  </si>
  <si>
    <t>26375296</t>
  </si>
  <si>
    <t>МУП "Ремжилстройсервис"</t>
  </si>
  <si>
    <t>7212004641</t>
  </si>
  <si>
    <t>26360460</t>
  </si>
  <si>
    <t>МУП "ЮЖКХ"</t>
  </si>
  <si>
    <t>7227262324</t>
  </si>
  <si>
    <t>722701001</t>
  </si>
  <si>
    <t>26375273</t>
  </si>
  <si>
    <t>МУП «Коммунальщик»</t>
  </si>
  <si>
    <t>7205011359</t>
  </si>
  <si>
    <t>26375302</t>
  </si>
  <si>
    <t>МУП ЖКХ "Вагай"</t>
  </si>
  <si>
    <t>7212005349</t>
  </si>
  <si>
    <t>28277194</t>
  </si>
  <si>
    <t>МУП ЖКХ "Заречье"</t>
  </si>
  <si>
    <t>7207012950</t>
  </si>
  <si>
    <t>27915687</t>
  </si>
  <si>
    <t>МУП ЖКХ Тобольского района</t>
  </si>
  <si>
    <t>7206045872</t>
  </si>
  <si>
    <t>26375345</t>
  </si>
  <si>
    <t>МУП ЖКХ п.Боровский</t>
  </si>
  <si>
    <t>7224002712</t>
  </si>
  <si>
    <t>26375333</t>
  </si>
  <si>
    <t>МУПЖКХКр</t>
  </si>
  <si>
    <t>7218004920</t>
  </si>
  <si>
    <t>30355572</t>
  </si>
  <si>
    <t>Муниципальное предприятие "Туртасское коммунальное предприятие Уватского муниципального района"</t>
  </si>
  <si>
    <t>7206042208</t>
  </si>
  <si>
    <t>28821857</t>
  </si>
  <si>
    <t>ОАО "Аэропорт Сургут"</t>
  </si>
  <si>
    <t>8602060523</t>
  </si>
  <si>
    <t>720343001</t>
  </si>
  <si>
    <t>28467618</t>
  </si>
  <si>
    <t>ОАО "ТДСК"</t>
  </si>
  <si>
    <t>7203032191</t>
  </si>
  <si>
    <t>30989030</t>
  </si>
  <si>
    <t>ООО "АДК"</t>
  </si>
  <si>
    <t>7203217555</t>
  </si>
  <si>
    <t>28882077</t>
  </si>
  <si>
    <t>ООО "Абатский жилремстрой"</t>
  </si>
  <si>
    <t>7208004222</t>
  </si>
  <si>
    <t>30347280</t>
  </si>
  <si>
    <t>ООО "ВОДНИК"</t>
  </si>
  <si>
    <t>7203315376</t>
  </si>
  <si>
    <t>26375307</t>
  </si>
  <si>
    <t>ООО "Вектор"</t>
  </si>
  <si>
    <t>7215001342</t>
  </si>
  <si>
    <t>26576140</t>
  </si>
  <si>
    <t>ООО "Газпром трансгаз Сургут"</t>
  </si>
  <si>
    <t>8617002073</t>
  </si>
  <si>
    <t>997250001</t>
  </si>
  <si>
    <t>30-01-2002 00:00:00</t>
  </si>
  <si>
    <t>31660337</t>
  </si>
  <si>
    <t>ООО "Газпром трансгаз Сургут" Богандинское ЛПУ МГ</t>
  </si>
  <si>
    <t>722443001</t>
  </si>
  <si>
    <t>27753656</t>
  </si>
  <si>
    <t>ООО "Газпром трансгаз Сургут" Демьянское ЛПУ МГ</t>
  </si>
  <si>
    <t>722503003</t>
  </si>
  <si>
    <t>27753726</t>
  </si>
  <si>
    <t>ООО "Газпром трансгаз Сургут" Ишимское ЛПУ МГ</t>
  </si>
  <si>
    <t>720503001</t>
  </si>
  <si>
    <t>27753711</t>
  </si>
  <si>
    <t>ООО "Газпром трансгаз Сургут" Тобольское ЛПУ МГ</t>
  </si>
  <si>
    <t>720603002</t>
  </si>
  <si>
    <t>27753688</t>
  </si>
  <si>
    <t>ООО "Газпром трансгаз Сургут" Туртасское ЛПУ МГ</t>
  </si>
  <si>
    <t>722503004</t>
  </si>
  <si>
    <t>27753714</t>
  </si>
  <si>
    <t>ООО "Газпром трансгаз Сургут" Ярковское ЛПУ МГ</t>
  </si>
  <si>
    <t>722943001</t>
  </si>
  <si>
    <t>28005926</t>
  </si>
  <si>
    <t>ООО "Голышмановотеплосервис"</t>
  </si>
  <si>
    <t>7220004589</t>
  </si>
  <si>
    <t>26320028</t>
  </si>
  <si>
    <t>ООО "ДСК-Энерго"</t>
  </si>
  <si>
    <t>7203144385</t>
  </si>
  <si>
    <t>17-02-2004 00:00:00</t>
  </si>
  <si>
    <t>31600892</t>
  </si>
  <si>
    <t>ООО "ДЭС"</t>
  </si>
  <si>
    <t>7203538750</t>
  </si>
  <si>
    <t>12-08-2024 00:00:00</t>
  </si>
  <si>
    <t>31756634</t>
  </si>
  <si>
    <t>ООО "ЖКХ БР"</t>
  </si>
  <si>
    <t>7224090885</t>
  </si>
  <si>
    <t>26-06-2024 00:00:00</t>
  </si>
  <si>
    <t>26375313</t>
  </si>
  <si>
    <t>ООО "Жилсервис"</t>
  </si>
  <si>
    <t>7215010139</t>
  </si>
  <si>
    <t>31456063</t>
  </si>
  <si>
    <t>ООО "ЗапСибНефтехим"</t>
  </si>
  <si>
    <t>1658087524</t>
  </si>
  <si>
    <t>31614626</t>
  </si>
  <si>
    <t>ООО "Звезда Управляет"</t>
  </si>
  <si>
    <t>7204168269</t>
  </si>
  <si>
    <t>30356010</t>
  </si>
  <si>
    <t>ООО "Инвест-силикат-стройсервис"</t>
  </si>
  <si>
    <t>7224007051</t>
  </si>
  <si>
    <t>31632716</t>
  </si>
  <si>
    <t>ООО "КАДЕНС"</t>
  </si>
  <si>
    <t>7203506684</t>
  </si>
  <si>
    <t>31514957</t>
  </si>
  <si>
    <t>ООО "Коммунальное хозяйство"</t>
  </si>
  <si>
    <t>7220100395</t>
  </si>
  <si>
    <t>19-04-2021 00:00:00</t>
  </si>
  <si>
    <t>31420184</t>
  </si>
  <si>
    <t>ООО "ЛУКОЙЛ-АИК"</t>
  </si>
  <si>
    <t>8608059605</t>
  </si>
  <si>
    <t>860801001</t>
  </si>
  <si>
    <t>31222419</t>
  </si>
  <si>
    <t>ООО "М-ЭНЕРГО"</t>
  </si>
  <si>
    <t>7224078976</t>
  </si>
  <si>
    <t>12-04-2018 00:00:00</t>
  </si>
  <si>
    <t>31655863</t>
  </si>
  <si>
    <t>ООО "М2"</t>
  </si>
  <si>
    <t>7203549166</t>
  </si>
  <si>
    <t>29-12-2022 00:00:00</t>
  </si>
  <si>
    <t>31738529</t>
  </si>
  <si>
    <t>ООО "МАРИОН"</t>
  </si>
  <si>
    <t>7203566860</t>
  </si>
  <si>
    <t>26375349</t>
  </si>
  <si>
    <t>ООО "МУП Винзилинское ЖКХ"</t>
  </si>
  <si>
    <t>7224030283</t>
  </si>
  <si>
    <t>26375350</t>
  </si>
  <si>
    <t>ООО "МУП Московское ЖКХ"</t>
  </si>
  <si>
    <t>7224030300</t>
  </si>
  <si>
    <t>31077508</t>
  </si>
  <si>
    <t>ООО "Новоуренгойский газохимический комплекс"</t>
  </si>
  <si>
    <t>8904006547</t>
  </si>
  <si>
    <t>21-08-2002 00:00:00</t>
  </si>
  <si>
    <t>31212504</t>
  </si>
  <si>
    <t>ООО "РАССВЕТ-Т"</t>
  </si>
  <si>
    <t>7203450939</t>
  </si>
  <si>
    <t>01-06-2018 00:00:00</t>
  </si>
  <si>
    <t>31539846</t>
  </si>
  <si>
    <t>ООО "РЕМИН-ЭНЕРГО"</t>
  </si>
  <si>
    <t>7203257861</t>
  </si>
  <si>
    <t>28859642</t>
  </si>
  <si>
    <t>ООО "Ромист"</t>
  </si>
  <si>
    <t>7220005487</t>
  </si>
  <si>
    <t>26375352</t>
  </si>
  <si>
    <t>7224032562</t>
  </si>
  <si>
    <t>31503801</t>
  </si>
  <si>
    <t>ООО "СБК ЭНЕРГО"</t>
  </si>
  <si>
    <t>7203471054</t>
  </si>
  <si>
    <t>28858595</t>
  </si>
  <si>
    <t>ООО "Санаторий "Геолог"</t>
  </si>
  <si>
    <t>7224054816</t>
  </si>
  <si>
    <t>26996341</t>
  </si>
  <si>
    <t>ООО "Сибгазсервис"</t>
  </si>
  <si>
    <t>7214006972</t>
  </si>
  <si>
    <t>28509855</t>
  </si>
  <si>
    <t>ООО "Сибириада"</t>
  </si>
  <si>
    <t>7205023474</t>
  </si>
  <si>
    <t>31077456</t>
  </si>
  <si>
    <t>ООО "Соровскнефть"</t>
  </si>
  <si>
    <t>7202170632</t>
  </si>
  <si>
    <t>30-11-2007 00:00:00</t>
  </si>
  <si>
    <t>31559282</t>
  </si>
  <si>
    <t>ООО "ТЕПЛОН"</t>
  </si>
  <si>
    <t>7203528208</t>
  </si>
  <si>
    <t>31083071</t>
  </si>
  <si>
    <t>ООО "ТЕХЭНЕРГО"</t>
  </si>
  <si>
    <t>7203429422</t>
  </si>
  <si>
    <t>30958386</t>
  </si>
  <si>
    <t>ООО "ТИС"</t>
  </si>
  <si>
    <t>7203428884</t>
  </si>
  <si>
    <t>30992089</t>
  </si>
  <si>
    <t>ООО "ТЛЦ"</t>
  </si>
  <si>
    <t>7203381837</t>
  </si>
  <si>
    <t>31297392</t>
  </si>
  <si>
    <t>ООО "ТРОЯН"</t>
  </si>
  <si>
    <t>7203433010</t>
  </si>
  <si>
    <t>25-10-2017 00:00:00</t>
  </si>
  <si>
    <t>31422364</t>
  </si>
  <si>
    <t>ООО "ТСК"</t>
  </si>
  <si>
    <t>7203502094</t>
  </si>
  <si>
    <t>25-05-2020 00:00:00</t>
  </si>
  <si>
    <t>30371897</t>
  </si>
  <si>
    <t>ООО "ТЮМЕНЬГАЗСЕРВИС"</t>
  </si>
  <si>
    <t>7202135194</t>
  </si>
  <si>
    <t>27356445</t>
  </si>
  <si>
    <t>ООО "Тавда-Уют"</t>
  </si>
  <si>
    <t>7224048202</t>
  </si>
  <si>
    <t>20-07-2010 00:00:00</t>
  </si>
  <si>
    <t>30861530</t>
  </si>
  <si>
    <t>ООО "Тепло"</t>
  </si>
  <si>
    <t>7207018279</t>
  </si>
  <si>
    <t>31535670</t>
  </si>
  <si>
    <t>ООО "Тепловые решения"</t>
  </si>
  <si>
    <t>7203528215</t>
  </si>
  <si>
    <t>27-10-2021 00:00:00</t>
  </si>
  <si>
    <t>28856888</t>
  </si>
  <si>
    <t>ООО "Тепломонтажналадка"</t>
  </si>
  <si>
    <t>7206035546</t>
  </si>
  <si>
    <t>26375283</t>
  </si>
  <si>
    <t>ООО "Теплосервис с. Абатское"</t>
  </si>
  <si>
    <t>7208003980</t>
  </si>
  <si>
    <t>30355588</t>
  </si>
  <si>
    <t>ООО "Теплый дом"</t>
  </si>
  <si>
    <t>7203333167</t>
  </si>
  <si>
    <t>30438563</t>
  </si>
  <si>
    <t>ООО "Технолог"</t>
  </si>
  <si>
    <t>7203315954</t>
  </si>
  <si>
    <t>30838885</t>
  </si>
  <si>
    <t>ООО "Техноцентр"</t>
  </si>
  <si>
    <t>7203330328</t>
  </si>
  <si>
    <t>26381312</t>
  </si>
  <si>
    <t>ООО "Тюмень Водоканал"</t>
  </si>
  <si>
    <t>7204095194</t>
  </si>
  <si>
    <t>30952083</t>
  </si>
  <si>
    <t>ООО "УК "Авангард"</t>
  </si>
  <si>
    <t>7203380103</t>
  </si>
  <si>
    <t>31309691</t>
  </si>
  <si>
    <t>ООО "УК НА ПРАЖСКОЙ"</t>
  </si>
  <si>
    <t>7203455415</t>
  </si>
  <si>
    <t>26507917</t>
  </si>
  <si>
    <t>ООО "Управляющая компания "Лекс"</t>
  </si>
  <si>
    <t>7204031169</t>
  </si>
  <si>
    <t>26643041</t>
  </si>
  <si>
    <t>ООО "Управляющая компания "УПРАВДОМ"</t>
  </si>
  <si>
    <t>7202155320</t>
  </si>
  <si>
    <t>28-01-2009 00:00:00</t>
  </si>
  <si>
    <t>26434973</t>
  </si>
  <si>
    <t>ООО "Червишевское ЖКХ"</t>
  </si>
  <si>
    <t>7224041334</t>
  </si>
  <si>
    <t>26522800</t>
  </si>
  <si>
    <t>ООО «Газпром энерго» в зоне деятельности Сургутского филиала Общества с ограниченной ответственностью «Газпром энерго»</t>
  </si>
  <si>
    <t>7736186950</t>
  </si>
  <si>
    <t>860202001</t>
  </si>
  <si>
    <t>03-10-2005 00:00:00</t>
  </si>
  <si>
    <t>26558197</t>
  </si>
  <si>
    <t>ООО «СКС»</t>
  </si>
  <si>
    <t>7222018509</t>
  </si>
  <si>
    <t>31456964</t>
  </si>
  <si>
    <t>ООО «ТКС»</t>
  </si>
  <si>
    <t>7203475098</t>
  </si>
  <si>
    <t>26375303</t>
  </si>
  <si>
    <t>ООО ЖКХ "Викуловское"</t>
  </si>
  <si>
    <t>7213004669</t>
  </si>
  <si>
    <t>28150549</t>
  </si>
  <si>
    <t>ООО НЭП "Универсал"</t>
  </si>
  <si>
    <t>7215001448</t>
  </si>
  <si>
    <t>31077469</t>
  </si>
  <si>
    <t>ООО РУСГАЗСЕРВИС</t>
  </si>
  <si>
    <t>8601041542</t>
  </si>
  <si>
    <t>07-07-2010 00:00:00</t>
  </si>
  <si>
    <t>26551662</t>
  </si>
  <si>
    <t>ПАО "Форвард Энерго"</t>
  </si>
  <si>
    <t>7203162698</t>
  </si>
  <si>
    <t>997150001</t>
  </si>
  <si>
    <t>01-12-2006 00:00:00</t>
  </si>
  <si>
    <t>26360373</t>
  </si>
  <si>
    <t>ПАО ДОК "Красный Октябрь"</t>
  </si>
  <si>
    <t>7204660270</t>
  </si>
  <si>
    <t>02-07-2024 00:00:00</t>
  </si>
  <si>
    <t>26360348</t>
  </si>
  <si>
    <t>ПАО Опытный завод "ЭЛЕКТРОН"</t>
  </si>
  <si>
    <t>7203000866</t>
  </si>
  <si>
    <t>10-06-2024 00:00:00</t>
  </si>
  <si>
    <t>30357202</t>
  </si>
  <si>
    <t>Публичное акционерное общество "Тюменские моторостроители"</t>
  </si>
  <si>
    <t>7203001556</t>
  </si>
  <si>
    <t>26375620</t>
  </si>
  <si>
    <t>Свердловская дирекция по тепловодоснабжению - структурное подразделение центральной дирекции по тепловодоснабжению - филиала ОАО "РЖД"</t>
  </si>
  <si>
    <t>7708503727</t>
  </si>
  <si>
    <t>665931051</t>
  </si>
  <si>
    <t>26375342</t>
  </si>
  <si>
    <t>Сладковское МУП ЖКХ</t>
  </si>
  <si>
    <t>7221001460</t>
  </si>
  <si>
    <t>30-03-2011 00:00:00</t>
  </si>
  <si>
    <t>26551012</t>
  </si>
  <si>
    <t>Тобольское УМН АО "Транснефть-Сибирь"</t>
  </si>
  <si>
    <t>7201000726</t>
  </si>
  <si>
    <t>720602001</t>
  </si>
  <si>
    <t>31661688</t>
  </si>
  <si>
    <t>Тюменская больница ФГБУЗ ЗСМЦ ФМБА России</t>
  </si>
  <si>
    <t>5502018378</t>
  </si>
  <si>
    <t>720302001</t>
  </si>
  <si>
    <t>27580677</t>
  </si>
  <si>
    <t>Тюменское УМН АО "Транснефть-Сибирь"</t>
  </si>
  <si>
    <t>26375268</t>
  </si>
  <si>
    <t>ФБУ Центр реабилитации СФР "Тараскуль"</t>
  </si>
  <si>
    <t>7204013642</t>
  </si>
  <si>
    <t>30903763</t>
  </si>
  <si>
    <t>ФГБУ "ЦЖКУ" МИНОБОРОНЫ РОССИИ</t>
  </si>
  <si>
    <t>7729314745</t>
  </si>
  <si>
    <t>770101001</t>
  </si>
  <si>
    <t>26360391</t>
  </si>
  <si>
    <t>Федеральное казенное учреждение "Центр хранения Страхового фонда"</t>
  </si>
  <si>
    <t>7207000289</t>
  </si>
  <si>
    <t>30914574</t>
  </si>
  <si>
    <t>Филиал ФГБУ "ЦЖКУ" МИНОБОРОНЫ РОССИИ (по ЦВО)</t>
  </si>
  <si>
    <t>667043001</t>
  </si>
  <si>
    <t>26375366</t>
  </si>
  <si>
    <t>Юргинское МППЖКХ</t>
  </si>
  <si>
    <t>7227000960</t>
  </si>
  <si>
    <t>26423553</t>
  </si>
  <si>
    <t>филиал "Сургутская ГРЭС-2" ПАО "Юнипро"</t>
  </si>
  <si>
    <t>8602067092</t>
  </si>
  <si>
    <t>04-03-2004 00:00:00</t>
  </si>
  <si>
    <t>26375272</t>
  </si>
  <si>
    <t>АО "Водоканал"</t>
  </si>
  <si>
    <t>7205010267</t>
  </si>
  <si>
    <t>30391854</t>
  </si>
  <si>
    <t>АО "Терминал-Рощино"</t>
  </si>
  <si>
    <t>7204003620</t>
  </si>
  <si>
    <t>27669468</t>
  </si>
  <si>
    <t>АСУСОН ТО "Щучинский дом социального обслуживания"</t>
  </si>
  <si>
    <t>7215005516</t>
  </si>
  <si>
    <t>26375280</t>
  </si>
  <si>
    <t>МП "Городские водопроводно-канализационные сети"</t>
  </si>
  <si>
    <t>7207000761</t>
  </si>
  <si>
    <t>31763426</t>
  </si>
  <si>
    <t>ООО "Абатск Водоканал"</t>
  </si>
  <si>
    <t>7224090758</t>
  </si>
  <si>
    <t>14-06-2024 00:00:00</t>
  </si>
  <si>
    <t>26628859</t>
  </si>
  <si>
    <t>ООО "Голышмановотеплоцентр"</t>
  </si>
  <si>
    <t>7214009003</t>
  </si>
  <si>
    <t>28-09-2010 00:00:00</t>
  </si>
  <si>
    <t>31356715</t>
  </si>
  <si>
    <t>ООО "ТЮМЕНЬ-ХИЛТОН"</t>
  </si>
  <si>
    <t>7202201351</t>
  </si>
  <si>
    <t>720201001</t>
  </si>
  <si>
    <t>31353514</t>
  </si>
  <si>
    <t>ООО "Тюмень-Хилтон"</t>
  </si>
  <si>
    <t>10-11-2009 00:00:00</t>
  </si>
  <si>
    <t>31060289</t>
  </si>
  <si>
    <t>ООО "Энергоспецсервис"</t>
  </si>
  <si>
    <t>7205028659</t>
  </si>
  <si>
    <t>25-12-2015 00:00:00</t>
  </si>
  <si>
    <t>31604126</t>
  </si>
  <si>
    <t>Общество с ограниченной ответственностью "Объединенная Тюменская Сетевая компания"</t>
  </si>
  <si>
    <t>7203473774</t>
  </si>
  <si>
    <t>01-03-2019 00:00:00</t>
  </si>
  <si>
    <t>26867519</t>
  </si>
  <si>
    <t>745301001</t>
  </si>
  <si>
    <t>28147556</t>
  </si>
  <si>
    <t>ЗАО "Птицефабрика "Пышминская"</t>
  </si>
  <si>
    <t>7224006227</t>
  </si>
  <si>
    <t>26320027</t>
  </si>
  <si>
    <t>ОАО ТТК "КРОСНО"</t>
  </si>
  <si>
    <t>7203001250</t>
  </si>
  <si>
    <t>28966128</t>
  </si>
  <si>
    <t>УЭСО АО "Транснефть-Сибирь"</t>
  </si>
  <si>
    <t>720343002</t>
  </si>
  <si>
    <t>31693349</t>
  </si>
  <si>
    <t>ИП Рогов Михаил Владимирович</t>
  </si>
  <si>
    <t>720692954181</t>
  </si>
  <si>
    <t>31691495</t>
  </si>
  <si>
    <t>ООО "АВТОПРОО"</t>
  </si>
  <si>
    <t>7204186324</t>
  </si>
  <si>
    <t>31693045</t>
  </si>
  <si>
    <t>ООО "ЛИДЕР"</t>
  </si>
  <si>
    <t>7203368064</t>
  </si>
  <si>
    <t>31633524</t>
  </si>
  <si>
    <t>ООО "НОВ-Экология"</t>
  </si>
  <si>
    <t>7203223862</t>
  </si>
  <si>
    <t>30993160</t>
  </si>
  <si>
    <t>ООО "ОЭ"</t>
  </si>
  <si>
    <t>7200000000</t>
  </si>
  <si>
    <t>720000000</t>
  </si>
  <si>
    <t>31691837</t>
  </si>
  <si>
    <t>ООО "ПРОФФИ"</t>
  </si>
  <si>
    <t>7203360080</t>
  </si>
  <si>
    <t>31692139</t>
  </si>
  <si>
    <t>ООО "СИБСЕРВИС"</t>
  </si>
  <si>
    <t>7204059936</t>
  </si>
  <si>
    <t>28062969</t>
  </si>
  <si>
    <t>ООО "Сервис плюс"</t>
  </si>
  <si>
    <t>7207022148</t>
  </si>
  <si>
    <t>31691117</t>
  </si>
  <si>
    <t>ООО "ТРАНССЕРВИС"</t>
  </si>
  <si>
    <t>6674322774</t>
  </si>
  <si>
    <t>667901001</t>
  </si>
  <si>
    <t>31692441</t>
  </si>
  <si>
    <t>ООО "ТУРАСЕРВИС-Н"</t>
  </si>
  <si>
    <t>7202248575</t>
  </si>
  <si>
    <t>28981192</t>
  </si>
  <si>
    <t>ООО "ТЭО"</t>
  </si>
  <si>
    <t>7204205739</t>
  </si>
  <si>
    <t>31693668</t>
  </si>
  <si>
    <t>ООО "УНИСТРОЙ"</t>
  </si>
  <si>
    <t>7207013560</t>
  </si>
  <si>
    <t>31692743</t>
  </si>
  <si>
    <t>ООО "ЭКО СЕРВИС"</t>
  </si>
  <si>
    <t>7204185730</t>
  </si>
  <si>
    <t>NSRF</t>
  </si>
  <si>
    <t>MR_NAME</t>
  </si>
  <si>
    <t>OKTMO_MR_NAME</t>
  </si>
  <si>
    <t>MO_NAME</t>
  </si>
  <si>
    <t>OKTMO_NAME</t>
  </si>
  <si>
    <t>TYPE</t>
  </si>
  <si>
    <t>MR_ID</t>
  </si>
  <si>
    <t>Абатский муниципальный район</t>
  </si>
  <si>
    <t>71603000</t>
  </si>
  <si>
    <t>муниципальный район</t>
  </si>
  <si>
    <t>Абатское</t>
  </si>
  <si>
    <t>71603402</t>
  </si>
  <si>
    <t>сельское поселение</t>
  </si>
  <si>
    <t>Банниковское</t>
  </si>
  <si>
    <t>71603410</t>
  </si>
  <si>
    <t>Болдыревское</t>
  </si>
  <si>
    <t>71603415</t>
  </si>
  <si>
    <t>Коневское</t>
  </si>
  <si>
    <t>71603430</t>
  </si>
  <si>
    <t>Ленинское</t>
  </si>
  <si>
    <t>71603435</t>
  </si>
  <si>
    <t>Майское</t>
  </si>
  <si>
    <t>71603440</t>
  </si>
  <si>
    <t>Назаровское</t>
  </si>
  <si>
    <t>71603445</t>
  </si>
  <si>
    <t>Ощепковское</t>
  </si>
  <si>
    <t>71603450</t>
  </si>
  <si>
    <t>Партизанское</t>
  </si>
  <si>
    <t>71603455</t>
  </si>
  <si>
    <t>Тушнолобовское</t>
  </si>
  <si>
    <t>71603460</t>
  </si>
  <si>
    <t>Шевыринское</t>
  </si>
  <si>
    <t>71603465</t>
  </si>
  <si>
    <t>Армизонский муниципальный район</t>
  </si>
  <si>
    <t>71605000</t>
  </si>
  <si>
    <t>Армизонское</t>
  </si>
  <si>
    <t>71605405</t>
  </si>
  <si>
    <t>Ивановское</t>
  </si>
  <si>
    <t>71605410</t>
  </si>
  <si>
    <t>Калмакское</t>
  </si>
  <si>
    <t>71605415</t>
  </si>
  <si>
    <t>Капралихинское</t>
  </si>
  <si>
    <t>71605420</t>
  </si>
  <si>
    <t>Красноорловское</t>
  </si>
  <si>
    <t>71605425</t>
  </si>
  <si>
    <t>Орловское</t>
  </si>
  <si>
    <t>71605430</t>
  </si>
  <si>
    <t>Прохоровское</t>
  </si>
  <si>
    <t>71605435</t>
  </si>
  <si>
    <t>Раздольское</t>
  </si>
  <si>
    <t>71605440</t>
  </si>
  <si>
    <t>Южно-Дубровинское</t>
  </si>
  <si>
    <t>71605445</t>
  </si>
  <si>
    <t>Аромашевский муниципальный район</t>
  </si>
  <si>
    <t>71607000</t>
  </si>
  <si>
    <t>Аромашевское</t>
  </si>
  <si>
    <t>71607405</t>
  </si>
  <si>
    <t>Кармацкое</t>
  </si>
  <si>
    <t>71607410</t>
  </si>
  <si>
    <t>Кротовское</t>
  </si>
  <si>
    <t>71607415</t>
  </si>
  <si>
    <t>Малиновское</t>
  </si>
  <si>
    <t>71607420</t>
  </si>
  <si>
    <t>Малоскарединское</t>
  </si>
  <si>
    <t>71607425</t>
  </si>
  <si>
    <t>Новоберезовское</t>
  </si>
  <si>
    <t>71607430</t>
  </si>
  <si>
    <t>Новопетровское</t>
  </si>
  <si>
    <t>71607435</t>
  </si>
  <si>
    <t>Русаковское</t>
  </si>
  <si>
    <t>71607440</t>
  </si>
  <si>
    <t>Слободчиковское</t>
  </si>
  <si>
    <t>71607445</t>
  </si>
  <si>
    <t>Сорочкинское</t>
  </si>
  <si>
    <t>71607450</t>
  </si>
  <si>
    <t>Юрминское</t>
  </si>
  <si>
    <t>71607455</t>
  </si>
  <si>
    <t>Бердюжский муниципальный район</t>
  </si>
  <si>
    <t>71610000</t>
  </si>
  <si>
    <t>Бердюжское</t>
  </si>
  <si>
    <t>71610410</t>
  </si>
  <si>
    <t>Зарословское</t>
  </si>
  <si>
    <t>71610420</t>
  </si>
  <si>
    <t>Истошинское</t>
  </si>
  <si>
    <t>71610430</t>
  </si>
  <si>
    <t>Мелехинское</t>
  </si>
  <si>
    <t>71610440</t>
  </si>
  <si>
    <t>Окуневское</t>
  </si>
  <si>
    <t>71610450</t>
  </si>
  <si>
    <t>Пегановское</t>
  </si>
  <si>
    <t>71610460</t>
  </si>
  <si>
    <t>Полозаозерское</t>
  </si>
  <si>
    <t>71610470</t>
  </si>
  <si>
    <t>Рямовское</t>
  </si>
  <si>
    <t>71610474</t>
  </si>
  <si>
    <t>Уктузское</t>
  </si>
  <si>
    <t>71610480</t>
  </si>
  <si>
    <t>Вагайский муниципальный район</t>
  </si>
  <si>
    <t>71613000</t>
  </si>
  <si>
    <t>Аксурское</t>
  </si>
  <si>
    <t>71613404</t>
  </si>
  <si>
    <t>Бегишевское</t>
  </si>
  <si>
    <t>71613412</t>
  </si>
  <si>
    <t>Вершинское</t>
  </si>
  <si>
    <t>71613416</t>
  </si>
  <si>
    <t>Дубровинское</t>
  </si>
  <si>
    <t>71613428</t>
  </si>
  <si>
    <t>Зареченское</t>
  </si>
  <si>
    <t>71613424</t>
  </si>
  <si>
    <t>Казанское</t>
  </si>
  <si>
    <t>71613456</t>
  </si>
  <si>
    <t>Карагайское</t>
  </si>
  <si>
    <t>71613432</t>
  </si>
  <si>
    <t>Касьяновское</t>
  </si>
  <si>
    <t>71613436</t>
  </si>
  <si>
    <t>Куларовское</t>
  </si>
  <si>
    <t>71613444</t>
  </si>
  <si>
    <t>Первовагайское</t>
  </si>
  <si>
    <t>71613460</t>
  </si>
  <si>
    <t>Первомайское</t>
  </si>
  <si>
    <t>71613464</t>
  </si>
  <si>
    <t>Птицкое</t>
  </si>
  <si>
    <t>71613468</t>
  </si>
  <si>
    <t>Супринское</t>
  </si>
  <si>
    <t>71613472</t>
  </si>
  <si>
    <t>Тукузское</t>
  </si>
  <si>
    <t>71613476</t>
  </si>
  <si>
    <t>Ушаковское</t>
  </si>
  <si>
    <t>71613480</t>
  </si>
  <si>
    <t>60</t>
  </si>
  <si>
    <t>Фатеевское</t>
  </si>
  <si>
    <t>71613484</t>
  </si>
  <si>
    <t>61</t>
  </si>
  <si>
    <t>Черноковское</t>
  </si>
  <si>
    <t>71613488</t>
  </si>
  <si>
    <t>62</t>
  </si>
  <si>
    <t>Шестовское</t>
  </si>
  <si>
    <t>71613492</t>
  </si>
  <si>
    <t>63</t>
  </si>
  <si>
    <t>Шишкинское</t>
  </si>
  <si>
    <t>71613408</t>
  </si>
  <si>
    <t>64</t>
  </si>
  <si>
    <t>Викуловский муниципальный район</t>
  </si>
  <si>
    <t>71615000</t>
  </si>
  <si>
    <t>Балаганское</t>
  </si>
  <si>
    <t>71615404</t>
  </si>
  <si>
    <t>65</t>
  </si>
  <si>
    <t>Березинское</t>
  </si>
  <si>
    <t>71615408</t>
  </si>
  <si>
    <t>67</t>
  </si>
  <si>
    <t>Викуловское</t>
  </si>
  <si>
    <t>71615412</t>
  </si>
  <si>
    <t>Ермаковское</t>
  </si>
  <si>
    <t>71615416</t>
  </si>
  <si>
    <t>69</t>
  </si>
  <si>
    <t>Калининское</t>
  </si>
  <si>
    <t>71615420</t>
  </si>
  <si>
    <t>70</t>
  </si>
  <si>
    <t>Каргалинское</t>
  </si>
  <si>
    <t>71615424</t>
  </si>
  <si>
    <t>71</t>
  </si>
  <si>
    <t>Коточиговское</t>
  </si>
  <si>
    <t>71615428</t>
  </si>
  <si>
    <t>72</t>
  </si>
  <si>
    <t>Нововяткинское</t>
  </si>
  <si>
    <t>71615432</t>
  </si>
  <si>
    <t>73</t>
  </si>
  <si>
    <t>Озернинское</t>
  </si>
  <si>
    <t>71615436</t>
  </si>
  <si>
    <t>74</t>
  </si>
  <si>
    <t>Поддубровинское</t>
  </si>
  <si>
    <t>71615440</t>
  </si>
  <si>
    <t>75</t>
  </si>
  <si>
    <t>Рябовское</t>
  </si>
  <si>
    <t>71615444</t>
  </si>
  <si>
    <t>76</t>
  </si>
  <si>
    <t>Сартамское</t>
  </si>
  <si>
    <t>71615448</t>
  </si>
  <si>
    <t>77</t>
  </si>
  <si>
    <t>Скрипкинское</t>
  </si>
  <si>
    <t>71615452</t>
  </si>
  <si>
    <t>78</t>
  </si>
  <si>
    <t>Чуртанское</t>
  </si>
  <si>
    <t>71615456</t>
  </si>
  <si>
    <t>79</t>
  </si>
  <si>
    <t>Голышмановский</t>
  </si>
  <si>
    <t>71702000</t>
  </si>
  <si>
    <t>городской округ</t>
  </si>
  <si>
    <t>80</t>
  </si>
  <si>
    <t>Город Ишим</t>
  </si>
  <si>
    <t>71705000</t>
  </si>
  <si>
    <t>81</t>
  </si>
  <si>
    <t>Исетский муниципальный район</t>
  </si>
  <si>
    <t>71624000</t>
  </si>
  <si>
    <t>Архангельское</t>
  </si>
  <si>
    <t>71624403</t>
  </si>
  <si>
    <t>82</t>
  </si>
  <si>
    <t>Бархатовское</t>
  </si>
  <si>
    <t>71624405</t>
  </si>
  <si>
    <t>83</t>
  </si>
  <si>
    <t>Бобылевское</t>
  </si>
  <si>
    <t>71624410</t>
  </si>
  <si>
    <t>84</t>
  </si>
  <si>
    <t>Верхнебешкильское</t>
  </si>
  <si>
    <t>71624415</t>
  </si>
  <si>
    <t>85</t>
  </si>
  <si>
    <t>Верхнеингальское</t>
  </si>
  <si>
    <t>71624417</t>
  </si>
  <si>
    <t>86</t>
  </si>
  <si>
    <t>Денисовское</t>
  </si>
  <si>
    <t>71624420</t>
  </si>
  <si>
    <t>87</t>
  </si>
  <si>
    <t>88</t>
  </si>
  <si>
    <t>Исетское</t>
  </si>
  <si>
    <t>71624425</t>
  </si>
  <si>
    <t>89</t>
  </si>
  <si>
    <t>Кировское</t>
  </si>
  <si>
    <t>71624427</t>
  </si>
  <si>
    <t>90</t>
  </si>
  <si>
    <t>Коммунаровское</t>
  </si>
  <si>
    <t>71624430</t>
  </si>
  <si>
    <t>91</t>
  </si>
  <si>
    <t>Красновское</t>
  </si>
  <si>
    <t>71624435</t>
  </si>
  <si>
    <t>92</t>
  </si>
  <si>
    <t>Мининское</t>
  </si>
  <si>
    <t>71624440</t>
  </si>
  <si>
    <t>93</t>
  </si>
  <si>
    <t>Рассветовское</t>
  </si>
  <si>
    <t>71624445</t>
  </si>
  <si>
    <t>94</t>
  </si>
  <si>
    <t>Рафайловское</t>
  </si>
  <si>
    <t>71624450</t>
  </si>
  <si>
    <t>95</t>
  </si>
  <si>
    <t>Слободобешкильское</t>
  </si>
  <si>
    <t>71624455</t>
  </si>
  <si>
    <t>96</t>
  </si>
  <si>
    <t>Солобоевское</t>
  </si>
  <si>
    <t>71624460</t>
  </si>
  <si>
    <t>97</t>
  </si>
  <si>
    <t>Шороховское</t>
  </si>
  <si>
    <t>71624465</t>
  </si>
  <si>
    <t>98</t>
  </si>
  <si>
    <t>Ишимский муниципальный район</t>
  </si>
  <si>
    <t>71626000</t>
  </si>
  <si>
    <t>Боровское</t>
  </si>
  <si>
    <t>71626404</t>
  </si>
  <si>
    <t>99</t>
  </si>
  <si>
    <t>Бутусовское</t>
  </si>
  <si>
    <t>71626408</t>
  </si>
  <si>
    <t>100</t>
  </si>
  <si>
    <t>Второпесьяновское</t>
  </si>
  <si>
    <t>71626412</t>
  </si>
  <si>
    <t>101</t>
  </si>
  <si>
    <t>Гагаринское</t>
  </si>
  <si>
    <t>71626416</t>
  </si>
  <si>
    <t>102</t>
  </si>
  <si>
    <t>Десятовское</t>
  </si>
  <si>
    <t>71626420</t>
  </si>
  <si>
    <t>103</t>
  </si>
  <si>
    <t>Дымковское</t>
  </si>
  <si>
    <t>71626424</t>
  </si>
  <si>
    <t>104</t>
  </si>
  <si>
    <t>105</t>
  </si>
  <si>
    <t>Карасульское</t>
  </si>
  <si>
    <t>71626428</t>
  </si>
  <si>
    <t>106</t>
  </si>
  <si>
    <t>Клепиковское</t>
  </si>
  <si>
    <t>71626432</t>
  </si>
  <si>
    <t>107</t>
  </si>
  <si>
    <t>Ларихинское</t>
  </si>
  <si>
    <t>71626436</t>
  </si>
  <si>
    <t>108</t>
  </si>
  <si>
    <t>Мизоновское</t>
  </si>
  <si>
    <t>71626440</t>
  </si>
  <si>
    <t>109</t>
  </si>
  <si>
    <t>Неволинское</t>
  </si>
  <si>
    <t>71626442</t>
  </si>
  <si>
    <t>110</t>
  </si>
  <si>
    <t>Новолоктинское</t>
  </si>
  <si>
    <t>71626444</t>
  </si>
  <si>
    <t>111</t>
  </si>
  <si>
    <t>Новотравнинское</t>
  </si>
  <si>
    <t>71626448</t>
  </si>
  <si>
    <t>112</t>
  </si>
  <si>
    <t>Пахомовское</t>
  </si>
  <si>
    <t>71626452</t>
  </si>
  <si>
    <t>113</t>
  </si>
  <si>
    <t>Первопесьяновское</t>
  </si>
  <si>
    <t>71626456</t>
  </si>
  <si>
    <t>114</t>
  </si>
  <si>
    <t>Плешковское</t>
  </si>
  <si>
    <t>71626460</t>
  </si>
  <si>
    <t>115</t>
  </si>
  <si>
    <t>Прокуткинское</t>
  </si>
  <si>
    <t>71626464</t>
  </si>
  <si>
    <t>116</t>
  </si>
  <si>
    <t>Равнецкое</t>
  </si>
  <si>
    <t>71626468</t>
  </si>
  <si>
    <t>117</t>
  </si>
  <si>
    <t>Стрехнинское</t>
  </si>
  <si>
    <t>71626472</t>
  </si>
  <si>
    <t>118</t>
  </si>
  <si>
    <t>Тоболовское</t>
  </si>
  <si>
    <t>71626476</t>
  </si>
  <si>
    <t>119</t>
  </si>
  <si>
    <t>Черемшанское</t>
  </si>
  <si>
    <t>71626484</t>
  </si>
  <si>
    <t>120</t>
  </si>
  <si>
    <t>Шаблыкинское</t>
  </si>
  <si>
    <t>71626488</t>
  </si>
  <si>
    <t>121</t>
  </si>
  <si>
    <t>Казанский муниципальный район</t>
  </si>
  <si>
    <t>71630000</t>
  </si>
  <si>
    <t>Афонькинское</t>
  </si>
  <si>
    <t>71630405</t>
  </si>
  <si>
    <t>122</t>
  </si>
  <si>
    <t>Большеченчерское</t>
  </si>
  <si>
    <t>71630410</t>
  </si>
  <si>
    <t>123</t>
  </si>
  <si>
    <t>Большеярковское</t>
  </si>
  <si>
    <t>71630415</t>
  </si>
  <si>
    <t>124</t>
  </si>
  <si>
    <t>Гагарьевское</t>
  </si>
  <si>
    <t>71630420</t>
  </si>
  <si>
    <t>125</t>
  </si>
  <si>
    <t>Дубынское</t>
  </si>
  <si>
    <t>71630425</t>
  </si>
  <si>
    <t>126</t>
  </si>
  <si>
    <t>Ильинское</t>
  </si>
  <si>
    <t>71630430</t>
  </si>
  <si>
    <t>127</t>
  </si>
  <si>
    <t>128</t>
  </si>
  <si>
    <t>71630432</t>
  </si>
  <si>
    <t>129</t>
  </si>
  <si>
    <t>Огневское</t>
  </si>
  <si>
    <t>71630435</t>
  </si>
  <si>
    <t>130</t>
  </si>
  <si>
    <t>Пешневское</t>
  </si>
  <si>
    <t>71630440</t>
  </si>
  <si>
    <t>131</t>
  </si>
  <si>
    <t>Смирновское</t>
  </si>
  <si>
    <t>71630445</t>
  </si>
  <si>
    <t>132</t>
  </si>
  <si>
    <t>Челюскинское</t>
  </si>
  <si>
    <t>71630450</t>
  </si>
  <si>
    <t>133</t>
  </si>
  <si>
    <t>Чирковское</t>
  </si>
  <si>
    <t>71630452</t>
  </si>
  <si>
    <t>134</t>
  </si>
  <si>
    <t>Яровское</t>
  </si>
  <si>
    <t>71630455</t>
  </si>
  <si>
    <t>135</t>
  </si>
  <si>
    <t>Нижнетавдинский муниципальный район</t>
  </si>
  <si>
    <t>71632000</t>
  </si>
  <si>
    <t>Андрюшинское</t>
  </si>
  <si>
    <t>71632404</t>
  </si>
  <si>
    <t>136</t>
  </si>
  <si>
    <t>Антипинское</t>
  </si>
  <si>
    <t>71632408</t>
  </si>
  <si>
    <t>137</t>
  </si>
  <si>
    <t>Березовское</t>
  </si>
  <si>
    <t>71632412</t>
  </si>
  <si>
    <t>138</t>
  </si>
  <si>
    <t>Бухтальское</t>
  </si>
  <si>
    <t>71632416</t>
  </si>
  <si>
    <t>139</t>
  </si>
  <si>
    <t>Велижанское</t>
  </si>
  <si>
    <t>71632420</t>
  </si>
  <si>
    <t>140</t>
  </si>
  <si>
    <t>Искинское</t>
  </si>
  <si>
    <t>71632428</t>
  </si>
  <si>
    <t>141</t>
  </si>
  <si>
    <t>Канашское</t>
  </si>
  <si>
    <t>71632432</t>
  </si>
  <si>
    <t>142</t>
  </si>
  <si>
    <t>Ключевское</t>
  </si>
  <si>
    <t>71632440</t>
  </si>
  <si>
    <t>143</t>
  </si>
  <si>
    <t>Миясское</t>
  </si>
  <si>
    <t>71632448</t>
  </si>
  <si>
    <t>144</t>
  </si>
  <si>
    <t>145</t>
  </si>
  <si>
    <t>Нижнетавдинское</t>
  </si>
  <si>
    <t>71632450</t>
  </si>
  <si>
    <t>146</t>
  </si>
  <si>
    <t>Новоникольское</t>
  </si>
  <si>
    <t>71632452</t>
  </si>
  <si>
    <t>147</t>
  </si>
  <si>
    <t>Новотроицкое</t>
  </si>
  <si>
    <t>71632456</t>
  </si>
  <si>
    <t>148</t>
  </si>
  <si>
    <t>Тавдинское</t>
  </si>
  <si>
    <t>71632469</t>
  </si>
  <si>
    <t>149</t>
  </si>
  <si>
    <t>Тарманское</t>
  </si>
  <si>
    <t>71632472</t>
  </si>
  <si>
    <t>150</t>
  </si>
  <si>
    <t>Тюневское</t>
  </si>
  <si>
    <t>71632475</t>
  </si>
  <si>
    <t>151</t>
  </si>
  <si>
    <t>Черепановское</t>
  </si>
  <si>
    <t>71632478</t>
  </si>
  <si>
    <t>152</t>
  </si>
  <si>
    <t>Чугунаевское</t>
  </si>
  <si>
    <t>71632482</t>
  </si>
  <si>
    <t>153</t>
  </si>
  <si>
    <t>Омутинский муниципальный район</t>
  </si>
  <si>
    <t>71634000</t>
  </si>
  <si>
    <t>Большекрасноярское</t>
  </si>
  <si>
    <t>71634411</t>
  </si>
  <si>
    <t>154</t>
  </si>
  <si>
    <t>Вагайское</t>
  </si>
  <si>
    <t>71634415</t>
  </si>
  <si>
    <t>155</t>
  </si>
  <si>
    <t>Журавлевское</t>
  </si>
  <si>
    <t>71634422</t>
  </si>
  <si>
    <t>156</t>
  </si>
  <si>
    <t>71634444</t>
  </si>
  <si>
    <t>157</t>
  </si>
  <si>
    <t>158</t>
  </si>
  <si>
    <t>Омутинское</t>
  </si>
  <si>
    <t>71634448</t>
  </si>
  <si>
    <t>159</t>
  </si>
  <si>
    <t>Ситниковское</t>
  </si>
  <si>
    <t>71634455</t>
  </si>
  <si>
    <t>160</t>
  </si>
  <si>
    <t>Шабановское</t>
  </si>
  <si>
    <t>71634466</t>
  </si>
  <si>
    <t>161</t>
  </si>
  <si>
    <t>Южно-Плетневское</t>
  </si>
  <si>
    <t>71634477</t>
  </si>
  <si>
    <t>162</t>
  </si>
  <si>
    <t>Сладковский муниципальный район</t>
  </si>
  <si>
    <t>71636000</t>
  </si>
  <si>
    <t>Александровское</t>
  </si>
  <si>
    <t>71636405</t>
  </si>
  <si>
    <t>163</t>
  </si>
  <si>
    <t>Лопазновское</t>
  </si>
  <si>
    <t>71636410</t>
  </si>
  <si>
    <t>164</t>
  </si>
  <si>
    <t>71636415</t>
  </si>
  <si>
    <t>165</t>
  </si>
  <si>
    <t>Маслянское</t>
  </si>
  <si>
    <t>71636420</t>
  </si>
  <si>
    <t>166</t>
  </si>
  <si>
    <t>Менжинское</t>
  </si>
  <si>
    <t>71636425</t>
  </si>
  <si>
    <t>167</t>
  </si>
  <si>
    <t>Никулинское</t>
  </si>
  <si>
    <t>71636430</t>
  </si>
  <si>
    <t>168</t>
  </si>
  <si>
    <t>Новоандреевское</t>
  </si>
  <si>
    <t>71636435</t>
  </si>
  <si>
    <t>169</t>
  </si>
  <si>
    <t>170</t>
  </si>
  <si>
    <t>Сладковское</t>
  </si>
  <si>
    <t>71636445</t>
  </si>
  <si>
    <t>171</t>
  </si>
  <si>
    <t>Степновское</t>
  </si>
  <si>
    <t>71636450</t>
  </si>
  <si>
    <t>172</t>
  </si>
  <si>
    <t>Усовское</t>
  </si>
  <si>
    <t>71636455</t>
  </si>
  <si>
    <t>173</t>
  </si>
  <si>
    <t>Сорокинский муниципальный район</t>
  </si>
  <si>
    <t>71638000</t>
  </si>
  <si>
    <t>71638410</t>
  </si>
  <si>
    <t>174</t>
  </si>
  <si>
    <t>Ворсихинское</t>
  </si>
  <si>
    <t>71638420</t>
  </si>
  <si>
    <t>175</t>
  </si>
  <si>
    <t>Готопутовское</t>
  </si>
  <si>
    <t>71638430</t>
  </si>
  <si>
    <t>176</t>
  </si>
  <si>
    <t>Знаменщиковское</t>
  </si>
  <si>
    <t>71638440</t>
  </si>
  <si>
    <t>177</t>
  </si>
  <si>
    <t>Пинигинское</t>
  </si>
  <si>
    <t>71638470</t>
  </si>
  <si>
    <t>178</t>
  </si>
  <si>
    <t>Покровское</t>
  </si>
  <si>
    <t>71638480</t>
  </si>
  <si>
    <t>179</t>
  </si>
  <si>
    <t>180</t>
  </si>
  <si>
    <t>Сорокинское</t>
  </si>
  <si>
    <t>71638490</t>
  </si>
  <si>
    <t>181</t>
  </si>
  <si>
    <t>Тобольский муниципальный район</t>
  </si>
  <si>
    <t>71642000</t>
  </si>
  <si>
    <t>Абалакское</t>
  </si>
  <si>
    <t>71642405</t>
  </si>
  <si>
    <t>182</t>
  </si>
  <si>
    <t>Ачирское</t>
  </si>
  <si>
    <t>71642407</t>
  </si>
  <si>
    <t>183</t>
  </si>
  <si>
    <t>Байкаловское</t>
  </si>
  <si>
    <t>71642410</t>
  </si>
  <si>
    <t>184</t>
  </si>
  <si>
    <t>Башковское</t>
  </si>
  <si>
    <t>71642425</t>
  </si>
  <si>
    <t>185</t>
  </si>
  <si>
    <t>Булашовское</t>
  </si>
  <si>
    <t>71642415</t>
  </si>
  <si>
    <t>186</t>
  </si>
  <si>
    <t>Верхнеаремзянское</t>
  </si>
  <si>
    <t>71642420</t>
  </si>
  <si>
    <t>187</t>
  </si>
  <si>
    <t>Ворогушинское</t>
  </si>
  <si>
    <t>71642430</t>
  </si>
  <si>
    <t>188</t>
  </si>
  <si>
    <t>Дегтяревское</t>
  </si>
  <si>
    <t>71642435</t>
  </si>
  <si>
    <t>189</t>
  </si>
  <si>
    <t>71642440</t>
  </si>
  <si>
    <t>190</t>
  </si>
  <si>
    <t>Загваздинское</t>
  </si>
  <si>
    <t>71642445</t>
  </si>
  <si>
    <t>191</t>
  </si>
  <si>
    <t>Карачинское</t>
  </si>
  <si>
    <t>71642450</t>
  </si>
  <si>
    <t>192</t>
  </si>
  <si>
    <t>Кутарбитское</t>
  </si>
  <si>
    <t>71642455</t>
  </si>
  <si>
    <t>193</t>
  </si>
  <si>
    <t>Лайтамакское</t>
  </si>
  <si>
    <t>71642460</t>
  </si>
  <si>
    <t>194</t>
  </si>
  <si>
    <t>Малозоркальцевское</t>
  </si>
  <si>
    <t>71642462</t>
  </si>
  <si>
    <t>195</t>
  </si>
  <si>
    <t>Надцынское</t>
  </si>
  <si>
    <t>71642465</t>
  </si>
  <si>
    <t>196</t>
  </si>
  <si>
    <t>Овсянниковское</t>
  </si>
  <si>
    <t>71642470</t>
  </si>
  <si>
    <t>197</t>
  </si>
  <si>
    <t>Полуяновское</t>
  </si>
  <si>
    <t>71642473</t>
  </si>
  <si>
    <t>198</t>
  </si>
  <si>
    <t>Прииртышское</t>
  </si>
  <si>
    <t>71642475</t>
  </si>
  <si>
    <t>199</t>
  </si>
  <si>
    <t>Санниковское</t>
  </si>
  <si>
    <t>71642480</t>
  </si>
  <si>
    <t>200</t>
  </si>
  <si>
    <t>Сетовское</t>
  </si>
  <si>
    <t>71642482</t>
  </si>
  <si>
    <t>201</t>
  </si>
  <si>
    <t>202</t>
  </si>
  <si>
    <t>Ушаровское</t>
  </si>
  <si>
    <t>71642485</t>
  </si>
  <si>
    <t>203</t>
  </si>
  <si>
    <t>Хмелевское</t>
  </si>
  <si>
    <t>71642490</t>
  </si>
  <si>
    <t>204</t>
  </si>
  <si>
    <t>Тюменский муниципальный район</t>
  </si>
  <si>
    <t>71644000</t>
  </si>
  <si>
    <t>Андреевское</t>
  </si>
  <si>
    <t>71644405</t>
  </si>
  <si>
    <t>205</t>
  </si>
  <si>
    <t>Богандинское</t>
  </si>
  <si>
    <t>71644410</t>
  </si>
  <si>
    <t>206</t>
  </si>
  <si>
    <t>Винзилинское</t>
  </si>
  <si>
    <t>71644416</t>
  </si>
  <si>
    <t>207</t>
  </si>
  <si>
    <t>Горьковское</t>
  </si>
  <si>
    <t>71644417</t>
  </si>
  <si>
    <t>208</t>
  </si>
  <si>
    <t>Ембаевское</t>
  </si>
  <si>
    <t>71644420</t>
  </si>
  <si>
    <t>209</t>
  </si>
  <si>
    <t>Каменское</t>
  </si>
  <si>
    <t>71644425</t>
  </si>
  <si>
    <t>210</t>
  </si>
  <si>
    <t>Каскаринское</t>
  </si>
  <si>
    <t>71644430</t>
  </si>
  <si>
    <t>211</t>
  </si>
  <si>
    <t>Кулаковское</t>
  </si>
  <si>
    <t>71644440</t>
  </si>
  <si>
    <t>212</t>
  </si>
  <si>
    <t>Мальковское</t>
  </si>
  <si>
    <t>71644445</t>
  </si>
  <si>
    <t>213</t>
  </si>
  <si>
    <t>Московское</t>
  </si>
  <si>
    <t>71644450</t>
  </si>
  <si>
    <t>214</t>
  </si>
  <si>
    <t>Муллашинское</t>
  </si>
  <si>
    <t>71644451</t>
  </si>
  <si>
    <t>215</t>
  </si>
  <si>
    <t>Наримановское</t>
  </si>
  <si>
    <t>71644452</t>
  </si>
  <si>
    <t>216</t>
  </si>
  <si>
    <t>Новотарманское</t>
  </si>
  <si>
    <t>71644456</t>
  </si>
  <si>
    <t>217</t>
  </si>
  <si>
    <t>Онохинское</t>
  </si>
  <si>
    <t>71644458</t>
  </si>
  <si>
    <t>218</t>
  </si>
  <si>
    <t>Переваловское</t>
  </si>
  <si>
    <t>71644460</t>
  </si>
  <si>
    <t>219</t>
  </si>
  <si>
    <t>Салаирское</t>
  </si>
  <si>
    <t>71644470</t>
  </si>
  <si>
    <t>220</t>
  </si>
  <si>
    <t>221</t>
  </si>
  <si>
    <t>Успенское</t>
  </si>
  <si>
    <t>71644475</t>
  </si>
  <si>
    <t>222</t>
  </si>
  <si>
    <t>Червишевское</t>
  </si>
  <si>
    <t>71644480</t>
  </si>
  <si>
    <t>223</t>
  </si>
  <si>
    <t>Чикчинское</t>
  </si>
  <si>
    <t>71644485</t>
  </si>
  <si>
    <t>224</t>
  </si>
  <si>
    <t>поселок Боровский</t>
  </si>
  <si>
    <t>71644412</t>
  </si>
  <si>
    <t>225</t>
  </si>
  <si>
    <t>Уватский муниципальный район</t>
  </si>
  <si>
    <t>71648000</t>
  </si>
  <si>
    <t>Алымское</t>
  </si>
  <si>
    <t>71648405</t>
  </si>
  <si>
    <t>226</t>
  </si>
  <si>
    <t>Горнослинкинское</t>
  </si>
  <si>
    <t>71648410</t>
  </si>
  <si>
    <t>227</t>
  </si>
  <si>
    <t>Демьянское</t>
  </si>
  <si>
    <t>71648415</t>
  </si>
  <si>
    <t>228</t>
  </si>
  <si>
    <t>71648420</t>
  </si>
  <si>
    <t>229</t>
  </si>
  <si>
    <t>Красноярское</t>
  </si>
  <si>
    <t>71648425</t>
  </si>
  <si>
    <t>230</t>
  </si>
  <si>
    <t>Межселенная территория Уватского муниципального района</t>
  </si>
  <si>
    <t>71648701</t>
  </si>
  <si>
    <t>межселенная территория</t>
  </si>
  <si>
    <t>231</t>
  </si>
  <si>
    <t>Осинниковское</t>
  </si>
  <si>
    <t>71648435</t>
  </si>
  <si>
    <t>232</t>
  </si>
  <si>
    <t>Соровое</t>
  </si>
  <si>
    <t>71648438</t>
  </si>
  <si>
    <t>233</t>
  </si>
  <si>
    <t>Тугаловское</t>
  </si>
  <si>
    <t>71648440</t>
  </si>
  <si>
    <t>234</t>
  </si>
  <si>
    <t>Туртасское</t>
  </si>
  <si>
    <t>71648445</t>
  </si>
  <si>
    <t>235</t>
  </si>
  <si>
    <t>236</t>
  </si>
  <si>
    <t>Уватское</t>
  </si>
  <si>
    <t>71648450</t>
  </si>
  <si>
    <t>237</t>
  </si>
  <si>
    <t>Укинское</t>
  </si>
  <si>
    <t>71648452</t>
  </si>
  <si>
    <t>238</t>
  </si>
  <si>
    <t>Юровское</t>
  </si>
  <si>
    <t>71648455</t>
  </si>
  <si>
    <t>239</t>
  </si>
  <si>
    <t>Упоровский муниципальный район</t>
  </si>
  <si>
    <t>71650000</t>
  </si>
  <si>
    <t>Буньковское</t>
  </si>
  <si>
    <t>71650405</t>
  </si>
  <si>
    <t>240</t>
  </si>
  <si>
    <t>Бызовское</t>
  </si>
  <si>
    <t>71650410</t>
  </si>
  <si>
    <t>241</t>
  </si>
  <si>
    <t>Видоновское</t>
  </si>
  <si>
    <t>71650415</t>
  </si>
  <si>
    <t>242</t>
  </si>
  <si>
    <t>Емуртлинское</t>
  </si>
  <si>
    <t>71650420</t>
  </si>
  <si>
    <t>243</t>
  </si>
  <si>
    <t>Ингалинское</t>
  </si>
  <si>
    <t>71650425</t>
  </si>
  <si>
    <t>244</t>
  </si>
  <si>
    <t>Коркинское</t>
  </si>
  <si>
    <t>71650430</t>
  </si>
  <si>
    <t>245</t>
  </si>
  <si>
    <t>Крашенининское</t>
  </si>
  <si>
    <t>71650435</t>
  </si>
  <si>
    <t>246</t>
  </si>
  <si>
    <t>Липихинское</t>
  </si>
  <si>
    <t>71650440</t>
  </si>
  <si>
    <t>247</t>
  </si>
  <si>
    <t>Нижнеманайское</t>
  </si>
  <si>
    <t>71650445</t>
  </si>
  <si>
    <t>248</t>
  </si>
  <si>
    <t>Пятковское</t>
  </si>
  <si>
    <t>71650450</t>
  </si>
  <si>
    <t>249</t>
  </si>
  <si>
    <t>Скородумское</t>
  </si>
  <si>
    <t>71650455</t>
  </si>
  <si>
    <t>250</t>
  </si>
  <si>
    <t>Суерское</t>
  </si>
  <si>
    <t>71650460</t>
  </si>
  <si>
    <t>251</t>
  </si>
  <si>
    <t>252</t>
  </si>
  <si>
    <t>Упоровское</t>
  </si>
  <si>
    <t>71650465</t>
  </si>
  <si>
    <t>253</t>
  </si>
  <si>
    <t>Чернаковское</t>
  </si>
  <si>
    <t>71650470</t>
  </si>
  <si>
    <t>254</t>
  </si>
  <si>
    <t>Юргинский муниципальный район</t>
  </si>
  <si>
    <t>71653000</t>
  </si>
  <si>
    <t>Агаракское</t>
  </si>
  <si>
    <t>71653405</t>
  </si>
  <si>
    <t>255</t>
  </si>
  <si>
    <t>Бушуевское</t>
  </si>
  <si>
    <t>71653420</t>
  </si>
  <si>
    <t>256</t>
  </si>
  <si>
    <t>Володинское</t>
  </si>
  <si>
    <t>71653425</t>
  </si>
  <si>
    <t>257</t>
  </si>
  <si>
    <t>Зоновское</t>
  </si>
  <si>
    <t>71653430</t>
  </si>
  <si>
    <t>258</t>
  </si>
  <si>
    <t>Лабинское</t>
  </si>
  <si>
    <t>71653440</t>
  </si>
  <si>
    <t>259</t>
  </si>
  <si>
    <t>Лесное</t>
  </si>
  <si>
    <t>71653443</t>
  </si>
  <si>
    <t>260</t>
  </si>
  <si>
    <t>Новотаповское</t>
  </si>
  <si>
    <t>71653447</t>
  </si>
  <si>
    <t>261</t>
  </si>
  <si>
    <t>Северо-Плетневское</t>
  </si>
  <si>
    <t>71653450</t>
  </si>
  <si>
    <t>262</t>
  </si>
  <si>
    <t>Шипаковское</t>
  </si>
  <si>
    <t>71653460</t>
  </si>
  <si>
    <t>263</t>
  </si>
  <si>
    <t>264</t>
  </si>
  <si>
    <t>Юргинское</t>
  </si>
  <si>
    <t>71653465</t>
  </si>
  <si>
    <t>265</t>
  </si>
  <si>
    <t>Ялуторовский муниципальный район</t>
  </si>
  <si>
    <t>71656000</t>
  </si>
  <si>
    <t>Асланинское</t>
  </si>
  <si>
    <t>71656405</t>
  </si>
  <si>
    <t>266</t>
  </si>
  <si>
    <t>Беркутское</t>
  </si>
  <si>
    <t>71656410</t>
  </si>
  <si>
    <t>267</t>
  </si>
  <si>
    <t>Заводопетровское</t>
  </si>
  <si>
    <t>71656413</t>
  </si>
  <si>
    <t>268</t>
  </si>
  <si>
    <t>Зиновское</t>
  </si>
  <si>
    <t>71656415</t>
  </si>
  <si>
    <t>269</t>
  </si>
  <si>
    <t>71656420</t>
  </si>
  <si>
    <t>270</t>
  </si>
  <si>
    <t>Карабашское</t>
  </si>
  <si>
    <t>71656422</t>
  </si>
  <si>
    <t>271</t>
  </si>
  <si>
    <t>Киевское</t>
  </si>
  <si>
    <t>71656423</t>
  </si>
  <si>
    <t>272</t>
  </si>
  <si>
    <t>Коктюльское</t>
  </si>
  <si>
    <t>71656425</t>
  </si>
  <si>
    <t>273</t>
  </si>
  <si>
    <t>Новоатьяловское</t>
  </si>
  <si>
    <t>71656430</t>
  </si>
  <si>
    <t>274</t>
  </si>
  <si>
    <t>Памятнинское</t>
  </si>
  <si>
    <t>71656435</t>
  </si>
  <si>
    <t>275</t>
  </si>
  <si>
    <t>Петелинское</t>
  </si>
  <si>
    <t>71656440</t>
  </si>
  <si>
    <t>276</t>
  </si>
  <si>
    <t>Ревдинское</t>
  </si>
  <si>
    <t>71656445</t>
  </si>
  <si>
    <t>277</t>
  </si>
  <si>
    <t>Сингульское</t>
  </si>
  <si>
    <t>71656450</t>
  </si>
  <si>
    <t>278</t>
  </si>
  <si>
    <t>Старокавдыкское</t>
  </si>
  <si>
    <t>71656455</t>
  </si>
  <si>
    <t>279</t>
  </si>
  <si>
    <t>Хохловское</t>
  </si>
  <si>
    <t>71656460</t>
  </si>
  <si>
    <t>280</t>
  </si>
  <si>
    <t>281</t>
  </si>
  <si>
    <t>Ярковский муниципальный район</t>
  </si>
  <si>
    <t>71658000</t>
  </si>
  <si>
    <t>Аксаринское</t>
  </si>
  <si>
    <t>71658405</t>
  </si>
  <si>
    <t>282</t>
  </si>
  <si>
    <t>Гилевское</t>
  </si>
  <si>
    <t>71658410</t>
  </si>
  <si>
    <t>283</t>
  </si>
  <si>
    <t>71658415</t>
  </si>
  <si>
    <t>284</t>
  </si>
  <si>
    <t>Иевлевское</t>
  </si>
  <si>
    <t>71658420</t>
  </si>
  <si>
    <t>285</t>
  </si>
  <si>
    <t>Караульноярское</t>
  </si>
  <si>
    <t>71658425</t>
  </si>
  <si>
    <t>286</t>
  </si>
  <si>
    <t>Маранское</t>
  </si>
  <si>
    <t>71658430</t>
  </si>
  <si>
    <t>287</t>
  </si>
  <si>
    <t>Новоалександровское</t>
  </si>
  <si>
    <t>71658435</t>
  </si>
  <si>
    <t>288</t>
  </si>
  <si>
    <t>Плехановское</t>
  </si>
  <si>
    <t>71658440</t>
  </si>
  <si>
    <t>289</t>
  </si>
  <si>
    <t>71658445</t>
  </si>
  <si>
    <t>290</t>
  </si>
  <si>
    <t>71658450</t>
  </si>
  <si>
    <t>291</t>
  </si>
  <si>
    <t>Староалександровское</t>
  </si>
  <si>
    <t>71658455</t>
  </si>
  <si>
    <t>292</t>
  </si>
  <si>
    <t>Усальское</t>
  </si>
  <si>
    <t>71658460</t>
  </si>
  <si>
    <t>293</t>
  </si>
  <si>
    <t>Щетковское</t>
  </si>
  <si>
    <t>71658465</t>
  </si>
  <si>
    <t>294</t>
  </si>
  <si>
    <t>295</t>
  </si>
  <si>
    <t>Ярковское</t>
  </si>
  <si>
    <t>71658470</t>
  </si>
  <si>
    <t>296</t>
  </si>
  <si>
    <t>город Заводоуковск</t>
  </si>
  <si>
    <t>71703000</t>
  </si>
  <si>
    <t>297</t>
  </si>
  <si>
    <t>город Тобольск</t>
  </si>
  <si>
    <t>71710000</t>
  </si>
  <si>
    <t>298</t>
  </si>
  <si>
    <t>город Ялуторовск</t>
  </si>
  <si>
    <t>71715000</t>
  </si>
  <si>
    <t>300</t>
  </si>
  <si>
    <t>NUMBER_POINT</t>
  </si>
  <si>
    <t>INVP_NAME</t>
  </si>
  <si>
    <t>INVP_ID</t>
  </si>
  <si>
    <t>L_START_DATE</t>
  </si>
  <si>
    <t>L_END_DATE</t>
  </si>
  <si>
    <t>L_DECISION_NAME</t>
  </si>
  <si>
    <t>L_DECISION_TYPE</t>
  </si>
  <si>
    <t>L_DECISION_NMBR</t>
  </si>
  <si>
    <t>L_DECISION_DATE</t>
  </si>
  <si>
    <t>Инвестиционная программа № 344/01-05-ос от 10.08.2023 ООО "Сорокинские коммунальные системы" в сфере теплоснабжения по реконструкции системы теплоснабжения, на территории муниципального района Сорокинский на 2023-2028 годы</t>
  </si>
  <si>
    <t>10.08.2023</t>
  </si>
  <si>
    <t>31.12.2028</t>
  </si>
  <si>
    <t>Инвестиционная программа № 346/01-05-ос от 10.08.2023 ООО "Теплосервис с. Абатское" в сфере теплоснабжения по реконструкции системы теплоснабжения, на территории муниципального района Абатский на 2023-2026 годы</t>
  </si>
  <si>
    <t>31.12.2026</t>
  </si>
  <si>
    <t>Инвестиционная программа № 388/01-05-ос от 30.08.2023 ООО «ТКС» в сфере теплоснабжения по реконструкции системы теплоснабжения, на территории муниципального района Исетский на 2023-2030 годы</t>
  </si>
  <si>
    <t>30.08.2023</t>
  </si>
  <si>
    <t>31.12.2030</t>
  </si>
  <si>
    <t>Инвестиционная программа № 393/01-05-ос от 30.08.2023 ООО "Коммунальное хозяйство" в сфере теплоснабжения в отношении системы теплоснабжения, на территории муниципального района Аромашевский на 2023-2027 годы</t>
  </si>
  <si>
    <t>31.12.2027</t>
  </si>
  <si>
    <t>Инвестиционная программа № 393/01-05-ос от 30.08.2023 ООО "Коммунальное хозяйство" в сфере теплоснабжения по реконструкции системы теплоснабжения, на территории муниципального района Аромашевский на 2023-2027 годы</t>
  </si>
  <si>
    <t>Инвестиционная программа от 08.12.2023 АО "СУЭНКО" в сфере теплоснабжения по реконструкции системы теплоснабжения, на территории муниципального района Уватский на 2024-2026 годы</t>
  </si>
  <si>
    <t>01.01.2024</t>
  </si>
  <si>
    <t>Инвестиционная программа от 19.07.2023 ТМУП "ТТС" в сфере теплоснабжения по реконструкции системы теплоснабжения, на территории городского округа Тюмень на 2024-2028 годы</t>
  </si>
  <si>
    <t>Инвестиционная программа от 26.07.2023 ПАО "Форвард Энерго" в сфере теплоснабжения по реконструкции системы теплоснабжения, на территории городского округа Тюмень на 2024-2028 годы</t>
  </si>
  <si>
    <t>Инвестиционная программа от 29.09.2021 ООО "Сибириада" в сфере теплоснабжения по реконструкции систем теплоснабжения, на территории муниципального района Викуловский на 2021-2024 годы</t>
  </si>
  <si>
    <t>29.09.2021</t>
  </si>
  <si>
    <t>31.12.2024</t>
  </si>
  <si>
    <t>Инвестиционная программа от 29.09.2021 ООО ЖКХ "Викуловское" в сфере теплоснабжения по реконструкции систем теплоснабжения, на территории муниципального района Викуловский на 2021-2024 годы</t>
  </si>
  <si>
    <t>Инвестиционная программа от 30.10.2023 АО "УСТЭК" в сфере теплоснабжения по реконструкции системы теплоснабжения, на территории городского округа Тюмень на 2024-2028 годы</t>
  </si>
  <si>
    <t>Инвестиционная программа от 30.12.2020 ООО «ТКС» в сфере теплоснабжения по реконструкции системы теплоснабжения, на территории муниципального района Ярковский на 2021-2025 годы</t>
  </si>
  <si>
    <t>01.01.2021</t>
  </si>
  <si>
    <t>TER_NAME</t>
  </si>
  <si>
    <t>Территория 1</t>
  </si>
  <si>
    <t>ID_TARIFF_NAME</t>
  </si>
  <si>
    <t>TARIFF_NAME</t>
  </si>
  <si>
    <t>VED_NAME</t>
  </si>
  <si>
    <t>4190064</t>
  </si>
  <si>
    <t>4190065</t>
  </si>
  <si>
    <t>4190066</t>
  </si>
  <si>
    <t>4190067</t>
  </si>
  <si>
    <t>4190068</t>
  </si>
  <si>
    <t>4190069</t>
  </si>
  <si>
    <t>4190070</t>
  </si>
  <si>
    <t>4190071</t>
  </si>
  <si>
    <t>4190072</t>
  </si>
  <si>
    <t>4190073</t>
  </si>
  <si>
    <t>ID</t>
  </si>
  <si>
    <t>LINK_NAME</t>
  </si>
  <si>
    <t>https://portal.eias.ru/Portal/DownloadPage.aspx?type=12&amp;guid=????????-????-????-????-????????????</t>
  </si>
  <si>
    <t>ALL</t>
  </si>
  <si>
    <t>https://eias.fstrf.ru/disclo/get_file?p_guid=????????-????-????-????-????????????</t>
  </si>
  <si>
    <t>Форма</t>
  </si>
  <si>
    <t>Листы</t>
  </si>
  <si>
    <t>optOrganization</t>
  </si>
  <si>
    <t>optROiV</t>
  </si>
  <si>
    <t>optHEAT</t>
  </si>
  <si>
    <t>optCOLDVSNA</t>
  </si>
  <si>
    <t>optVOTV</t>
  </si>
  <si>
    <t>optHOTVSNA</t>
  </si>
  <si>
    <t>optTKO</t>
  </si>
  <si>
    <t>optORG</t>
  </si>
  <si>
    <t>optPRICE</t>
  </si>
  <si>
    <t>optBALANCE</t>
  </si>
  <si>
    <t>optQUARTER</t>
  </si>
  <si>
    <t>optINVEST</t>
  </si>
  <si>
    <t>optTERMS</t>
  </si>
  <si>
    <t>optREQUEST</t>
  </si>
  <si>
    <t>modSave</t>
  </si>
  <si>
    <t>Расчетные листы</t>
  </si>
  <si>
    <t>Скрытые листы</t>
  </si>
  <si>
    <t>Instruction</t>
  </si>
  <si>
    <t>DATA_FORMS</t>
  </si>
  <si>
    <t>modUpdTemplLogger</t>
  </si>
  <si>
    <t>DATA_NPA</t>
  </si>
  <si>
    <t>TITLE</t>
  </si>
  <si>
    <t>TEHSHEET</t>
  </si>
  <si>
    <t>TERRITORY</t>
  </si>
  <si>
    <t>TSH_et_union_hor</t>
  </si>
  <si>
    <t>DIFFERENTIATION</t>
  </si>
  <si>
    <t>modP_T_TERMS</t>
  </si>
  <si>
    <t>DIFFERENTIATION_TARIFF</t>
  </si>
  <si>
    <t>modMainProcedures</t>
  </si>
  <si>
    <t>DIFFERENTIATION_TKO</t>
  </si>
  <si>
    <t>modB_FHD</t>
  </si>
  <si>
    <t>ORG_INFO</t>
  </si>
  <si>
    <t>modB_FHD20</t>
  </si>
  <si>
    <t>ORG_VD</t>
  </si>
  <si>
    <t>modB_KNE</t>
  </si>
  <si>
    <t>ORG_VD_TKO</t>
  </si>
  <si>
    <t>modIP_MAIN</t>
  </si>
  <si>
    <t>ORG_TERRITORY</t>
  </si>
  <si>
    <t>modIP_QRE</t>
  </si>
  <si>
    <t>P_T_TERMS</t>
  </si>
  <si>
    <t>modIP_DETAILED</t>
  </si>
  <si>
    <t>TARIFF_A</t>
  </si>
  <si>
    <t>TSH_et_union_vert</t>
  </si>
  <si>
    <t>TARIFF_B</t>
  </si>
  <si>
    <t>modROIV</t>
  </si>
  <si>
    <t>TARIFF_F</t>
  </si>
  <si>
    <t>modDIFFERENTIATION_TKO</t>
  </si>
  <si>
    <t>TARIFF_C</t>
  </si>
  <si>
    <t>modTARIFF_HEAT</t>
  </si>
  <si>
    <t>TARIFF_E1</t>
  </si>
  <si>
    <t>modTARIFF_COLDVSNA</t>
  </si>
  <si>
    <t>TARIFF_E2</t>
  </si>
  <si>
    <t>modIP_FIN_PLAN</t>
  </si>
  <si>
    <t>TARIFF_D</t>
  </si>
  <si>
    <t>REESTR_IP</t>
  </si>
  <si>
    <t>TARIFF_G</t>
  </si>
  <si>
    <t>modfrmListIP</t>
  </si>
  <si>
    <t>Лист5</t>
  </si>
  <si>
    <t>modfrmActivity</t>
  </si>
  <si>
    <t>Лист6</t>
  </si>
  <si>
    <t>REESTR_DS</t>
  </si>
  <si>
    <t>Лист7</t>
  </si>
  <si>
    <t>REESTR_VED</t>
  </si>
  <si>
    <t>Лист14</t>
  </si>
  <si>
    <t>TSH_REESTR_MO</t>
  </si>
  <si>
    <t>P_PROCEDURE_TC</t>
  </si>
  <si>
    <t>TSH_REESTR_MO_FILTER</t>
  </si>
  <si>
    <t>R_B_Purch</t>
  </si>
  <si>
    <t>REESTR_LINK</t>
  </si>
  <si>
    <t>Q_PH</t>
  </si>
  <si>
    <t>modDIFFERENTIATION_TARIFF</t>
  </si>
  <si>
    <t>Q_TP</t>
  </si>
  <si>
    <t>modDIFFERENTIATION</t>
  </si>
  <si>
    <t>Q_LIMIT</t>
  </si>
  <si>
    <t>modTERRITORY</t>
  </si>
  <si>
    <t>R_Offer</t>
  </si>
  <si>
    <t>modQ_PH</t>
  </si>
  <si>
    <t>TARIFF_A_COLDVSNA</t>
  </si>
  <si>
    <t>modORG_INFO</t>
  </si>
  <si>
    <t>TARIFF_B_COLDVSNA</t>
  </si>
  <si>
    <t>modORG_VD</t>
  </si>
  <si>
    <t>TARIFF_C_COLDVSNA</t>
  </si>
  <si>
    <t>modORG_TERRITORY</t>
  </si>
  <si>
    <t>TARIFF_D_COLDVSNA</t>
  </si>
  <si>
    <t>modfrmSelectTerritory</t>
  </si>
  <si>
    <t>TARIFF_E_COLDVSNA</t>
  </si>
  <si>
    <t>modQ_TP</t>
  </si>
  <si>
    <t>B_FHD</t>
  </si>
  <si>
    <t>modQ_LIMIT</t>
  </si>
  <si>
    <t>B_FHD20</t>
  </si>
  <si>
    <t>modListTempFilter</t>
  </si>
  <si>
    <t>B_FHD_TKO</t>
  </si>
  <si>
    <t>modCheckCyan</t>
  </si>
  <si>
    <t>B_FHD_TKO_TRANS</t>
  </si>
  <si>
    <t>modHTTP</t>
  </si>
  <si>
    <t>B_KNE</t>
  </si>
  <si>
    <t>modfrmRezimChoose</t>
  </si>
  <si>
    <t>IP_MAIN</t>
  </si>
  <si>
    <t>modSheetMain</t>
  </si>
  <si>
    <t>IP_DETAILED</t>
  </si>
  <si>
    <t>REESTR_VT</t>
  </si>
  <si>
    <t>IP_FIN_PLAN</t>
  </si>
  <si>
    <t>modfrmReportMode</t>
  </si>
  <si>
    <t>IP_QRE</t>
  </si>
  <si>
    <t>modfrmReestrObj</t>
  </si>
  <si>
    <t>TARIFF_A_HOTVSNA</t>
  </si>
  <si>
    <t>AllSheetsInThisWorkbook</t>
  </si>
  <si>
    <t>TARIFF_B_HOTVSNA</t>
  </si>
  <si>
    <t>modInstruction</t>
  </si>
  <si>
    <t>TARIFF_C_HOTVSNA</t>
  </si>
  <si>
    <t>modRegion</t>
  </si>
  <si>
    <t>TARIFF_A_VOTV</t>
  </si>
  <si>
    <t>modReestr</t>
  </si>
  <si>
    <t>TARIFF_B_VOTV</t>
  </si>
  <si>
    <t>modfrmReestr</t>
  </si>
  <si>
    <t>TARIFF_C_VOTV</t>
  </si>
  <si>
    <t>modUpdTemplMain</t>
  </si>
  <si>
    <t>ED</t>
  </si>
  <si>
    <t>TSH_REESTR_ORG</t>
  </si>
  <si>
    <t>CHANGE_INFO</t>
  </si>
  <si>
    <t>modClassifierValidate</t>
  </si>
  <si>
    <t>ListComm</t>
  </si>
  <si>
    <t>modCHECK</t>
  </si>
  <si>
    <t>CHECK</t>
  </si>
  <si>
    <t>modHyp</t>
  </si>
  <si>
    <t>ROIV_INFO</t>
  </si>
  <si>
    <t>modServiceModule</t>
  </si>
  <si>
    <t>ROIV_ORG</t>
  </si>
  <si>
    <t>modInfo</t>
  </si>
  <si>
    <t>ROIV_CASE</t>
  </si>
  <si>
    <t>modTITLE</t>
  </si>
  <si>
    <t>ROIV_OTV</t>
  </si>
  <si>
    <t>modList02</t>
  </si>
  <si>
    <t>Лист1</t>
  </si>
  <si>
    <t>modED</t>
  </si>
  <si>
    <t>modList05</t>
  </si>
  <si>
    <t>modList06</t>
  </si>
  <si>
    <t>modCHANGE_INFO</t>
  </si>
  <si>
    <t>modList11</t>
  </si>
  <si>
    <t>modList12</t>
  </si>
  <si>
    <t>modfrmDateChoose</t>
  </si>
  <si>
    <t>modComm</t>
  </si>
  <si>
    <t>modThisWorkbook</t>
  </si>
  <si>
    <t>modfrmReestrMR</t>
  </si>
  <si>
    <t>modfrmCheckUpdates</t>
  </si>
  <si>
    <t>Титульный</t>
  </si>
  <si>
    <t>Для выбора того или иного источника публикации выполните двойной щелчок по синей ячейке напротив соответствующего источника._x000D_
ВНИМАНИЕ! Если Вы снимаете галочку с пункта, то будут скрыты и очищены соответствующие строки на листе "Форма 1.0.2"!_x000D_
_x000D_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</si>
  <si>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</si>
  <si>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</si>
  <si>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Шаблон заполняется раздельно по каждому виду тарифа</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</si>
  <si>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</si>
  <si>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</si>
  <si>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</si>
  <si>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</si>
  <si>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</si>
  <si>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Укажите является ли данное юридическое лицо подразделением(филиалом) другой организации</t>
  </si>
  <si>
    <t>Ссылки на публикации</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</si>
  <si>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</si>
  <si>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заполнения'._x000D_
_x000D_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</si>
  <si>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</si>
  <si>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Список МО</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</si>
  <si>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</si>
  <si>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</si>
  <si>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Признак дифференциации тарифа</t>
  </si>
  <si>
    <t>В случае, если тариф не дифференцируется по системам теплоснабжения, укажите "1"._x000D_
Введите значение от 1 до 100, чтобы указать очередной условный порядковый номер системы теплоснабжения</t>
  </si>
  <si>
    <t>Стандарты</t>
  </si>
  <si>
    <t>В качестве примечания Вы можете указать единицу измерения</t>
  </si>
  <si>
    <t>Для корректного формирования Таблицы 25 Формы 1.10 необходимо задать разбивку по диаметрам и способу прокладки тепловых сетей</t>
  </si>
  <si>
    <t>Перечень тарифов</t>
  </si>
  <si>
    <t>Укажите «Да» в поле «Да/Нет», если дифференциация используется._x000D_
В поле «Описание» указывается наименование территории действия тарифа при наличии дифференциации тарифа по территориальному признаку._x000D_
В случае дифференциации тарифов по территориальному признаку информация по ним указывается в отдельных строках.</t>
  </si>
  <si>
    <t>Признаки дифференциации указываются в соответствии с п.6 ст.32 ФЗ РФ от 07.12.2011 №416-ФЗ</t>
  </si>
  <si>
    <t>Укажите «Да» в поле «Да/Нет», если дифференциация используется. В поле «Описание» укажите название ЦС ГВС или любое другое описание</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</si>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</sst>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164" formatCode="_-* #,##0.00[$€-1]_-;\-* #,##0.00[$€-1]_-;_-* &quot;-&quot;??[$€-1]_-"/>
    <numFmt numFmtId="165" formatCode="#,##0.0"/>
    <numFmt numFmtId="166" formatCode="#,##0.000"/>
    <numFmt numFmtId="167" formatCode="#,##0.0000"/>
    <numFmt numFmtId="168" formatCode="dd\.mm\.yyyy"/>
    <numFmt numFmtId="169" formatCode="000000"/>
    <numFmt numFmtId="170" formatCode="h:mm;@"/>
  </numFmts>
  <fonts count="116">
    <font>
      <sz val="9"/>
      <color rgb="FF000000"/>
      <name val="Tahoma"/>
    </font>
    <font>
      <sz val="11"/>
      <color theme="1"/>
      <name val="Calibri"/>
      <scheme val="minor"/>
    </font>
    <font>
      <sz val="12"/>
      <name val="Arial"/>
    </font>
    <font>
      <sz val="10"/>
      <name val="Helv"/>
    </font>
    <font>
      <sz val="8"/>
      <name val="Arial"/>
    </font>
    <font>
      <sz val="9"/>
      <name val="Tahoma"/>
    </font>
    <font>
      <sz val="8"/>
      <name val="Palatino"/>
    </font>
    <font>
      <u/>
      <sz val="10"/>
      <color rgb="FF800080"/>
      <name val="Arial Cyr"/>
    </font>
    <font>
      <sz val="8"/>
      <name val="Helv"/>
    </font>
    <font>
      <u/>
      <sz val="9"/>
      <color theme="10"/>
      <name val="Tahoma"/>
    </font>
    <font>
      <sz val="10"/>
      <name val="Arial"/>
    </font>
    <font>
      <sz val="10"/>
      <name val="Arial Cyr"/>
    </font>
    <font>
      <u/>
      <sz val="9"/>
      <color theme="11"/>
      <name val="Tahoma"/>
    </font>
    <font>
      <sz val="9"/>
      <color rgb="FFFFFFFF"/>
      <name val="Tahoma"/>
    </font>
    <font>
      <sz val="9"/>
      <color rgb="FFCC0000"/>
      <name val="Tahoma"/>
    </font>
    <font>
      <sz val="16"/>
      <name val="Tahoma"/>
    </font>
    <font>
      <sz val="16"/>
      <color rgb="FFFFFFFF"/>
      <name val="Tahoma"/>
    </font>
    <font>
      <sz val="9"/>
      <color rgb="FFBCBCBC"/>
      <name val="Tahoma"/>
    </font>
    <font>
      <sz val="11"/>
      <color rgb="FFBCBCBC"/>
      <name val="Wingdings 2"/>
    </font>
    <font>
      <b/>
      <u/>
      <sz val="9"/>
      <name val="Tahoma"/>
    </font>
    <font>
      <sz val="11"/>
      <name val="Webdings2"/>
    </font>
    <font>
      <sz val="9"/>
      <color rgb="FF000080"/>
      <name val="Tahoma"/>
    </font>
    <font>
      <b/>
      <sz val="11"/>
      <color rgb="FF000000"/>
      <name val="Calibri"/>
    </font>
    <font>
      <sz val="11"/>
      <name val="Wingdings 2"/>
    </font>
    <font>
      <b/>
      <sz val="9"/>
      <color rgb="FFFFFFFF"/>
      <name val="Tahoma"/>
    </font>
    <font>
      <b/>
      <u/>
      <sz val="9"/>
      <color rgb="FF000080"/>
      <name val="Tahoma"/>
    </font>
    <font>
      <sz val="8"/>
      <name val="Tahoma"/>
    </font>
    <font>
      <sz val="10"/>
      <name val="Tahoma"/>
    </font>
    <font>
      <sz val="9"/>
      <color theme="0"/>
      <name val="Tahoma"/>
    </font>
    <font>
      <sz val="1"/>
      <color theme="0"/>
      <name val="Tahoma"/>
    </font>
    <font>
      <b/>
      <sz val="1"/>
      <color theme="0"/>
      <name val="Calibri"/>
    </font>
    <font>
      <b/>
      <sz val="9"/>
      <name val="Tahoma"/>
    </font>
    <font>
      <sz val="8"/>
      <color rgb="FFBCBCBC"/>
      <name val="Tahoma"/>
    </font>
    <font>
      <sz val="12"/>
      <color rgb="FF000000"/>
      <name val="Tahoma"/>
    </font>
    <font>
      <sz val="11"/>
      <color rgb="FF000000"/>
      <name val="Calibri"/>
    </font>
    <font>
      <u/>
      <sz val="9"/>
      <color rgb="FF333399"/>
      <name val="Tahoma"/>
    </font>
    <font>
      <sz val="9"/>
      <color rgb="FFFF0000"/>
      <name val="Tahoma"/>
    </font>
    <font>
      <sz val="5"/>
      <color rgb="FFFF0000"/>
      <name val="Tahoma"/>
    </font>
    <font>
      <sz val="11"/>
      <color theme="0"/>
      <name val="Wingdings 2"/>
    </font>
    <font>
      <sz val="5"/>
      <color theme="0"/>
      <name val="Tahoma"/>
    </font>
    <font>
      <sz val="3"/>
      <color rgb="FFFFFFFF"/>
      <name val="Tahoma"/>
    </font>
    <font>
      <sz val="3"/>
      <color rgb="FFCC0000"/>
      <name val="Tahoma"/>
    </font>
    <font>
      <sz val="3"/>
      <name val="Tahoma"/>
    </font>
    <font>
      <sz val="3"/>
      <color rgb="FF000000"/>
      <name val="Tahoma"/>
    </font>
    <font>
      <sz val="3"/>
      <color rgb="FF993300"/>
      <name val="Tahoma"/>
    </font>
    <font>
      <sz val="1"/>
      <color rgb="FFFFFFFF"/>
      <name val="Tahoma"/>
    </font>
    <font>
      <sz val="18"/>
      <name val="Tahoma"/>
    </font>
    <font>
      <sz val="18"/>
      <color rgb="FF000000"/>
      <name val="Tahoma"/>
    </font>
    <font>
      <sz val="11"/>
      <color rgb="FF000000"/>
      <name val="Tahoma"/>
    </font>
    <font>
      <sz val="1"/>
      <color rgb="FF000000"/>
      <name val="Tahoma"/>
    </font>
    <font>
      <sz val="15"/>
      <color rgb="FF000000"/>
      <name val="Tahoma"/>
    </font>
    <font>
      <sz val="11"/>
      <color theme="0"/>
      <name val="Webdings2"/>
    </font>
    <font>
      <u/>
      <sz val="1"/>
      <color rgb="FF333399"/>
      <name val="Tahoma"/>
    </font>
    <font>
      <sz val="15"/>
      <name val="Tahoma"/>
    </font>
    <font>
      <sz val="1"/>
      <name val="Tahoma"/>
    </font>
    <font>
      <b/>
      <sz val="9"/>
      <color rgb="FF000080"/>
      <name val="Tahoma"/>
    </font>
    <font>
      <sz val="12"/>
      <color theme="0"/>
      <name val="Tahoma"/>
    </font>
    <font>
      <sz val="9"/>
      <color theme="1"/>
      <name val="Tahoma"/>
    </font>
    <font>
      <sz val="9"/>
      <color rgb="FF0066CC"/>
      <name val="Tahoma"/>
    </font>
    <font>
      <b/>
      <sz val="10"/>
      <color theme="1"/>
      <name val="Tahoma"/>
    </font>
    <font>
      <sz val="10"/>
      <color theme="1"/>
      <name val="Tahoma"/>
    </font>
    <font>
      <sz val="3"/>
      <color rgb="FFBCBCBC"/>
      <name val="Tahoma"/>
    </font>
    <font>
      <sz val="1"/>
      <color rgb="FFBCBCBC"/>
      <name val="Tahoma"/>
    </font>
    <font>
      <sz val="12"/>
      <name val="Marlett"/>
    </font>
    <font>
      <sz val="9"/>
      <color rgb="FFBCBCBC"/>
      <name val="Wingdings 2"/>
    </font>
    <font>
      <sz val="12"/>
      <name val="Tahoma"/>
    </font>
    <font>
      <sz val="15"/>
      <color theme="0"/>
      <name val="Tahoma"/>
    </font>
    <font>
      <sz val="1"/>
      <color rgb="FFFF0000"/>
      <name val="Tahoma"/>
    </font>
    <font>
      <b/>
      <sz val="11"/>
      <color theme="0"/>
      <name val="Calibri"/>
    </font>
    <font>
      <sz val="11"/>
      <color theme="0"/>
      <name val="Tahoma"/>
    </font>
    <font>
      <sz val="3"/>
      <color theme="0"/>
      <name val="Tahoma"/>
    </font>
    <font>
      <b/>
      <sz val="3"/>
      <name val="Tahoma"/>
    </font>
    <font>
      <b/>
      <sz val="9"/>
      <color rgb="FF0070C0"/>
      <name val="Tahoma"/>
    </font>
    <font>
      <sz val="7"/>
      <name val="Tahoma"/>
    </font>
    <font>
      <sz val="7"/>
      <color rgb="FFFFFFFF"/>
      <name val="Tahoma"/>
    </font>
    <font>
      <sz val="7"/>
      <color theme="0" tint="-0.499984740745262"/>
      <name val="Tahoma"/>
    </font>
    <font>
      <sz val="8"/>
      <color theme="0"/>
      <name val="Tahoma"/>
    </font>
    <font>
      <sz val="7"/>
      <color rgb="FF000000"/>
      <name val="Tahoma"/>
    </font>
    <font>
      <b/>
      <sz val="9"/>
      <color theme="0"/>
      <name val="Tahoma"/>
    </font>
    <font>
      <b/>
      <sz val="1"/>
      <color theme="0"/>
      <name val="Tahoma"/>
    </font>
    <font>
      <sz val="19"/>
      <color theme="0"/>
      <name val="Tahoma"/>
    </font>
    <font>
      <sz val="8"/>
      <color rgb="FFFFFFFF"/>
      <name val="Tahoma"/>
    </font>
    <font>
      <b/>
      <sz val="1"/>
      <name val="Tahoma"/>
    </font>
    <font>
      <b/>
      <sz val="1"/>
      <color rgb="FF000080"/>
      <name val="Tahoma"/>
    </font>
    <font>
      <b/>
      <sz val="10"/>
      <name val="Tahoma"/>
    </font>
    <font>
      <b/>
      <sz val="9"/>
      <color rgb="FF000000"/>
      <name val="Tahoma"/>
    </font>
    <font>
      <sz val="10"/>
      <color rgb="FF000000"/>
      <name val="Arial"/>
    </font>
    <font>
      <sz val="8"/>
      <color rgb="FF000080"/>
      <name val="Tahoma"/>
    </font>
    <font>
      <sz val="1"/>
      <name val="Webdings2"/>
    </font>
    <font>
      <sz val="1"/>
      <color theme="0"/>
      <name val="Webdings2"/>
    </font>
    <font>
      <b/>
      <sz val="9"/>
      <name val="Calibri"/>
    </font>
    <font>
      <sz val="1"/>
      <color rgb="FF000080"/>
      <name val="Tahoma"/>
    </font>
    <font>
      <sz val="9"/>
      <color theme="0"/>
      <name val="Webdings2"/>
    </font>
    <font>
      <sz val="1"/>
      <color theme="0"/>
      <name val="Wingdings 2"/>
    </font>
    <font>
      <sz val="18"/>
      <color theme="0"/>
      <name val="Tahoma"/>
    </font>
    <font>
      <sz val="9"/>
      <name val="Wingdings 2"/>
    </font>
    <font>
      <sz val="9"/>
      <color rgb="FFFFFFFF"/>
      <name val="Wingdings 2"/>
    </font>
    <font>
      <b/>
      <u/>
      <sz val="11"/>
      <color rgb="FF0000FF"/>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4"/>
      <color rgb="FFBCBCBC"/>
      <name val="Calibri"/>
    </font>
    <font>
      <sz val="9"/>
      <color rgb="FF333399"/>
      <name val="Tahoma"/>
    </font>
    <font>
      <b/>
      <sz val="8"/>
      <color rgb="FFC0C0C0"/>
      <name val="Wingdings 2"/>
    </font>
    <font>
      <u/>
      <sz val="9"/>
      <color rgb="FF000080"/>
      <name val="Tahoma"/>
    </font>
    <font>
      <b/>
      <sz val="8"/>
      <color theme="0"/>
      <name val="Wingdings 2"/>
    </font>
    <font>
      <b/>
      <sz val="9"/>
      <color rgb="FFCC0000"/>
      <name val="Tahoma"/>
    </font>
    <font>
      <u/>
      <sz val="9"/>
      <name val="Tahoma"/>
    </font>
    <font>
      <sz val="9"/>
      <color rgb="FF000000"/>
      <name val="Tahoma"/>
    </font>
    <font>
      <b/>
      <sz val="9"/>
      <name val="Tahoma"/>
      <family val="2"/>
      <charset val="204"/>
    </font>
    <font>
      <sz val="9"/>
      <name val="Tahoma"/>
      <family val="2"/>
      <charset val="204"/>
    </font>
    <font>
      <vertAlign val="superscript"/>
      <sz val="9"/>
      <name val="Tahoma"/>
      <family val="2"/>
      <charset val="204"/>
    </font>
    <font>
      <sz val="9"/>
      <color indexed="81"/>
      <name val="Arial"/>
      <family val="2"/>
    </font>
    <font>
      <sz val="9"/>
      <color indexed="81"/>
      <name val="Tahoma"/>
      <family val="2"/>
    </font>
  </fonts>
  <fills count="31">
    <fill>
      <patternFill patternType="none"/>
    </fill>
    <fill>
      <patternFill patternType="gray125"/>
    </fill>
    <fill>
      <patternFill patternType="solid">
        <fgColor theme="5" tint="0.79998168889431442"/>
        <bgColor indexed="65"/>
      </patternFill>
    </fill>
    <fill>
      <patternFill patternType="solid">
        <fgColor theme="7" tint="0.79998168889431442"/>
        <bgColor indexed="65"/>
      </patternFill>
    </fill>
    <fill>
      <patternFill patternType="solid">
        <fgColor theme="9" tint="0.79998168889431442"/>
        <bgColor indexed="65"/>
      </patternFill>
    </fill>
    <fill>
      <patternFill patternType="solid">
        <fgColor theme="6" tint="0.39997558519241921"/>
        <bgColor indexed="65"/>
      </patternFill>
    </fill>
    <fill>
      <patternFill patternType="solid">
        <fgColor rgb="FFFFFF99"/>
      </patternFill>
    </fill>
    <fill>
      <patternFill patternType="solid">
        <fgColor rgb="FFD7EAD3"/>
      </patternFill>
    </fill>
    <fill>
      <patternFill patternType="solid">
        <fgColor rgb="FFFFFFFF"/>
      </patternFill>
    </fill>
    <fill>
      <patternFill patternType="solid">
        <fgColor rgb="FFFFFFC0"/>
      </patternFill>
    </fill>
    <fill>
      <patternFill patternType="lightDown">
        <fgColor rgb="FFC0C0C0"/>
      </patternFill>
    </fill>
    <fill>
      <patternFill patternType="solid">
        <fgColor rgb="FFFFB7B7"/>
      </patternFill>
    </fill>
    <fill>
      <patternFill patternType="solid">
        <fgColor rgb="FFE3FAFD"/>
      </patternFill>
    </fill>
    <fill>
      <patternFill patternType="solid">
        <fgColor rgb="FFB7E4FF"/>
      </patternFill>
    </fill>
    <fill>
      <patternFill patternType="solid">
        <fgColor rgb="FFC0C0C0"/>
      </patternFill>
    </fill>
    <fill>
      <patternFill patternType="solid">
        <fgColor theme="0"/>
      </patternFill>
    </fill>
    <fill>
      <patternFill patternType="solid">
        <fgColor rgb="FF8DB4E2"/>
      </patternFill>
    </fill>
    <fill>
      <patternFill patternType="solid">
        <fgColor theme="2" tint="-9.9978637043366805E-2"/>
        <bgColor indexed="65"/>
      </patternFill>
    </fill>
    <fill>
      <patternFill patternType="solid">
        <fgColor theme="9" tint="-0.249977111117893"/>
        <bgColor indexed="65"/>
      </patternFill>
    </fill>
    <fill>
      <patternFill patternType="solid">
        <fgColor theme="0" tint="-0.14999847407452621"/>
        <bgColor indexed="65"/>
      </patternFill>
    </fill>
    <fill>
      <patternFill patternType="solid">
        <fgColor rgb="FF0066CC"/>
      </patternFill>
    </fill>
    <fill>
      <patternFill patternType="solid">
        <fgColor rgb="FFFFFF00"/>
      </patternFill>
    </fill>
    <fill>
      <patternFill patternType="solid">
        <fgColor rgb="FFFF9900"/>
      </patternFill>
    </fill>
    <fill>
      <patternFill patternType="solid">
        <fgColor rgb="FF808000"/>
      </patternFill>
    </fill>
    <fill>
      <patternFill patternType="solid">
        <fgColor rgb="FFCC99FF"/>
      </patternFill>
    </fill>
    <fill>
      <patternFill patternType="lightDown">
        <fgColor rgb="FFB7E4FF"/>
        <bgColor rgb="FFFFFFFF"/>
      </patternFill>
    </fill>
    <fill>
      <patternFill patternType="solid">
        <fgColor rgb="FFD3DBDB"/>
      </patternFill>
    </fill>
    <fill>
      <patternFill patternType="solid">
        <fgColor rgb="FFCCCCFF"/>
      </patternFill>
    </fill>
    <fill>
      <patternFill patternType="solid">
        <fgColor rgb="FF00CCFF"/>
      </patternFill>
    </fill>
    <fill>
      <patternFill patternType="solid">
        <fgColor rgb="FFBCBCBC"/>
      </patternFill>
    </fill>
    <fill>
      <patternFill patternType="solid">
        <fgColor rgb="FFEAEBEE"/>
      </patternFill>
    </fill>
  </fills>
  <borders count="66">
    <border>
      <left/>
      <right/>
      <top/>
      <bottom/>
      <diagonal/>
    </border>
    <border>
      <left style="thin">
        <color rgb="FF000000"/>
      </left>
      <right style="thin">
        <color rgb="FF000000"/>
      </right>
      <top style="thin">
        <color rgb="FF000000"/>
      </top>
      <bottom style="thin">
        <color rgb="FF000000"/>
      </bottom>
      <diagonal/>
    </border>
    <border>
      <left style="thin">
        <color rgb="FFBCBCBC"/>
      </left>
      <right style="thin">
        <color rgb="FFBCBCBC"/>
      </right>
      <top style="thin">
        <color rgb="FFBCBCBC"/>
      </top>
      <bottom style="thin">
        <color rgb="FFBCBCBC"/>
      </bottom>
      <diagonal/>
    </border>
    <border>
      <left style="thin">
        <color rgb="FFC0C0C0"/>
      </left>
      <right style="thin">
        <color rgb="FFC0C0C0"/>
      </right>
      <top style="thin">
        <color rgb="FFC0C0C0"/>
      </top>
      <bottom style="thin">
        <color rgb="FFC0C0C0"/>
      </bottom>
      <diagonal/>
    </border>
    <border>
      <left/>
      <right style="thin">
        <color rgb="FFC0C0C0"/>
      </right>
      <top style="thin">
        <color rgb="FFC0C0C0"/>
      </top>
      <bottom style="thin">
        <color rgb="FFC0C0C0"/>
      </bottom>
      <diagonal/>
    </border>
    <border>
      <left style="thin">
        <color rgb="FFC0C0C0"/>
      </left>
      <right/>
      <top style="thin">
        <color rgb="FFC0C0C0"/>
      </top>
      <bottom style="thin">
        <color rgb="FFC0C0C0"/>
      </bottom>
      <diagonal/>
    </border>
    <border>
      <left/>
      <right/>
      <top style="thin">
        <color rgb="FFC0C0C0"/>
      </top>
      <bottom style="thin">
        <color rgb="FFC0C0C0"/>
      </bottom>
      <diagonal/>
    </border>
    <border>
      <left style="thin">
        <color rgb="FFD3DBDB"/>
      </left>
      <right style="thin">
        <color rgb="FFD3DBDB"/>
      </right>
      <top style="thin">
        <color rgb="FFD3DBDB"/>
      </top>
      <bottom style="thin">
        <color rgb="FFD3DBDB"/>
      </bottom>
      <diagonal/>
    </border>
    <border>
      <left style="thin">
        <color rgb="FFC0C0C0"/>
      </left>
      <right style="thin">
        <color rgb="FFC0C0C0"/>
      </right>
      <top style="thin">
        <color rgb="FFC0C0C0"/>
      </top>
      <bottom/>
      <diagonal/>
    </border>
    <border>
      <left/>
      <right/>
      <top style="dotted">
        <color rgb="FF000000"/>
      </top>
      <bottom style="dotted">
        <color rgb="FF000000"/>
      </bottom>
      <diagonal/>
    </border>
    <border>
      <left/>
      <right/>
      <top style="thin">
        <color rgb="FFC0C0C0"/>
      </top>
      <bottom/>
      <diagonal/>
    </border>
    <border>
      <left/>
      <right style="thin">
        <color rgb="FFC0C0C0"/>
      </right>
      <top style="thin">
        <color rgb="FFC0C0C0"/>
      </top>
      <bottom/>
      <diagonal/>
    </border>
    <border>
      <left/>
      <right/>
      <top style="thin">
        <color rgb="FFD3DBDB"/>
      </top>
      <bottom/>
      <diagonal/>
    </border>
    <border>
      <left style="thin">
        <color rgb="FFC0C0C0"/>
      </left>
      <right/>
      <top/>
      <bottom/>
      <diagonal/>
    </border>
    <border>
      <left style="thin">
        <color rgb="FFC0C0C0"/>
      </left>
      <right style="thin">
        <color rgb="FFC0C0C0"/>
      </right>
      <top/>
      <bottom style="thin">
        <color rgb="FFC0C0C0"/>
      </bottom>
      <diagonal/>
    </border>
    <border>
      <left/>
      <right style="thin">
        <color rgb="FFC0C0C0"/>
      </right>
      <top/>
      <bottom/>
      <diagonal/>
    </border>
    <border>
      <left style="thin">
        <color rgb="FFC0C0C0"/>
      </left>
      <right style="thin">
        <color rgb="FFC0C0C0"/>
      </right>
      <top style="thin">
        <color rgb="FFC0C0C0"/>
      </top>
      <bottom style="thin">
        <color rgb="FFBCBCBC"/>
      </bottom>
      <diagonal/>
    </border>
    <border>
      <left style="hair">
        <color rgb="FFC0C0C0"/>
      </left>
      <right/>
      <top style="hair">
        <color rgb="FFC0C0C0"/>
      </top>
      <bottom style="hair">
        <color rgb="FFC0C0C0"/>
      </bottom>
      <diagonal/>
    </border>
    <border>
      <left/>
      <right/>
      <top/>
      <bottom style="thin">
        <color rgb="FFC0C0C0"/>
      </bottom>
      <diagonal/>
    </border>
    <border>
      <left style="thin">
        <color theme="0" tint="-0.249977111117893"/>
      </left>
      <right style="thin">
        <color rgb="FFC0C0C0"/>
      </right>
      <top style="thin">
        <color rgb="FFC0C0C0"/>
      </top>
      <bottom style="thin">
        <color rgb="FFC0C0C0"/>
      </bottom>
      <diagonal/>
    </border>
    <border>
      <left/>
      <right style="thin">
        <color rgb="FFC0C0C0"/>
      </right>
      <top/>
      <bottom style="thin">
        <color rgb="FFC0C0C0"/>
      </bottom>
      <diagonal/>
    </border>
    <border>
      <left style="thin">
        <color rgb="FFC0C0C0"/>
      </left>
      <right/>
      <top/>
      <bottom style="thin">
        <color rgb="FFC0C0C0"/>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249977111117893"/>
      </left>
      <right style="thin">
        <color theme="0" tint="-0.249977111117893"/>
      </right>
      <top/>
      <bottom style="thin">
        <color theme="0" tint="-0.249977111117893"/>
      </bottom>
      <diagonal/>
    </border>
    <border>
      <left style="thin">
        <color theme="0" tint="-0.249977111117893"/>
      </left>
      <right/>
      <top style="thin">
        <color theme="0" tint="-0.249977111117893"/>
      </top>
      <bottom style="thin">
        <color theme="0" tint="-0.249977111117893"/>
      </bottom>
      <diagonal/>
    </border>
    <border>
      <left style="thin">
        <color theme="0" tint="-0.249977111117893"/>
      </left>
      <right/>
      <top/>
      <bottom style="thin">
        <color theme="0" tint="-0.249977111117893"/>
      </bottom>
      <diagonal/>
    </border>
    <border>
      <left style="thin">
        <color theme="0" tint="-0.249977111117893"/>
      </left>
      <right style="thin">
        <color theme="0" tint="-0.249977111117893"/>
      </right>
      <top style="thin">
        <color theme="0" tint="-0.249977111117893"/>
      </top>
      <bottom/>
      <diagonal/>
    </border>
    <border>
      <left style="thin">
        <color rgb="FFC0C0C0"/>
      </left>
      <right style="thin">
        <color rgb="FFC0C0C0"/>
      </right>
      <top/>
      <bottom/>
      <diagonal/>
    </border>
    <border>
      <left style="thin">
        <color rgb="FFC0C0C0"/>
      </left>
      <right/>
      <top style="thin">
        <color rgb="FFC0C0C0"/>
      </top>
      <bottom/>
      <diagonal/>
    </border>
    <border>
      <left style="thin">
        <color rgb="FFBCBCBC"/>
      </left>
      <right/>
      <top/>
      <bottom/>
      <diagonal/>
    </border>
    <border>
      <left/>
      <right/>
      <top/>
      <bottom style="thin">
        <color rgb="FFBCBCBC"/>
      </bottom>
      <diagonal/>
    </border>
    <border>
      <left style="thin">
        <color theme="0" tint="-0.249977111117893"/>
      </left>
      <right style="thin">
        <color theme="0" tint="-0.249977111117893"/>
      </right>
      <top/>
      <bottom/>
      <diagonal/>
    </border>
    <border>
      <left/>
      <right/>
      <top style="thin">
        <color rgb="FFBCBCBC"/>
      </top>
      <bottom style="thin">
        <color rgb="FFBCBCBC"/>
      </bottom>
      <diagonal/>
    </border>
    <border>
      <left style="thin">
        <color rgb="FFC0C0C0"/>
      </left>
      <right/>
      <top style="thin">
        <color rgb="FFBCBCBC"/>
      </top>
      <bottom style="thin">
        <color rgb="FFC0C0C0"/>
      </bottom>
      <diagonal/>
    </border>
    <border>
      <left/>
      <right/>
      <top style="thin">
        <color rgb="FFBCBCBC"/>
      </top>
      <bottom style="thin">
        <color rgb="FFC0C0C0"/>
      </bottom>
      <diagonal/>
    </border>
    <border>
      <left/>
      <right/>
      <top style="thin">
        <color rgb="FFD3DBDB"/>
      </top>
      <bottom style="thin">
        <color rgb="FFD3DBDB"/>
      </bottom>
      <diagonal/>
    </border>
    <border>
      <left style="thin">
        <color rgb="FFD3DBDB"/>
      </left>
      <right/>
      <top style="thin">
        <color rgb="FFD3DBDB"/>
      </top>
      <bottom style="thin">
        <color rgb="FFD3DBDB"/>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medium">
        <color rgb="FFBCBCBC"/>
      </top>
      <bottom style="thin">
        <color rgb="FFC0C0C0"/>
      </bottom>
      <diagonal/>
    </border>
    <border>
      <left style="thin">
        <color rgb="FFBCBCBC"/>
      </left>
      <right/>
      <top style="medium">
        <color rgb="FFBCBCBC"/>
      </top>
      <bottom/>
      <diagonal/>
    </border>
    <border>
      <left/>
      <right/>
      <top style="medium">
        <color rgb="FFBCBCBC"/>
      </top>
      <bottom/>
      <diagonal/>
    </border>
    <border>
      <left/>
      <right/>
      <top/>
      <bottom style="medium">
        <color rgb="FFC0C0C0"/>
      </bottom>
      <diagonal/>
    </border>
    <border>
      <left/>
      <right/>
      <top style="thin">
        <color rgb="FFC0C0C0"/>
      </top>
      <bottom style="medium">
        <color rgb="FFC0C0C0"/>
      </bottom>
      <diagonal/>
    </border>
    <border>
      <left/>
      <right style="thin">
        <color theme="0" tint="-0.249977111117893"/>
      </right>
      <top style="thin">
        <color rgb="FFC0C0C0"/>
      </top>
      <bottom style="thin">
        <color rgb="FFC0C0C0"/>
      </bottom>
      <diagonal/>
    </border>
    <border>
      <left/>
      <right/>
      <top style="medium">
        <color rgb="FFBCBCBC"/>
      </top>
      <bottom style="thin">
        <color rgb="FFBCBCBC"/>
      </bottom>
      <diagonal/>
    </border>
    <border>
      <left/>
      <right style="thin">
        <color rgb="FFBCBCBC"/>
      </right>
      <top style="medium">
        <color rgb="FFBCBCBC"/>
      </top>
      <bottom style="thin">
        <color rgb="FFBCBCBC"/>
      </bottom>
      <diagonal/>
    </border>
    <border>
      <left/>
      <right/>
      <top style="medium">
        <color rgb="FFC0C0C0"/>
      </top>
      <bottom style="thin">
        <color rgb="FFC0C0C0"/>
      </bottom>
      <diagonal/>
    </border>
    <border>
      <left style="thin">
        <color rgb="FFC0C0C0"/>
      </left>
      <right/>
      <top style="thin">
        <color rgb="FFC0C0C0"/>
      </top>
      <bottom style="medium">
        <color rgb="FFC0C0C0"/>
      </bottom>
      <diagonal/>
    </border>
    <border>
      <left style="thin">
        <color theme="0" tint="-0.249977111117893"/>
      </left>
      <right style="thin">
        <color rgb="FFC0C0C0"/>
      </right>
      <top style="thin">
        <color rgb="FFC0C0C0"/>
      </top>
      <bottom/>
      <diagonal/>
    </border>
    <border>
      <left style="thin">
        <color theme="0" tint="-0.249977111117893"/>
      </left>
      <right/>
      <top style="thin">
        <color rgb="FFC0C0C0"/>
      </top>
      <bottom style="thin">
        <color rgb="FFC0C0C0"/>
      </bottom>
      <diagonal/>
    </border>
    <border>
      <left style="thin">
        <color theme="0" tint="-0.249977111117893"/>
      </left>
      <right/>
      <top style="thin">
        <color rgb="FFC0C0C0"/>
      </top>
      <bottom/>
      <diagonal/>
    </border>
    <border>
      <left style="thin">
        <color rgb="FFBCBCBC"/>
      </left>
      <right/>
      <top style="thin">
        <color rgb="FFBCBCBC"/>
      </top>
      <bottom/>
      <diagonal/>
    </border>
    <border>
      <left/>
      <right/>
      <top style="thin">
        <color rgb="FFBCBCBC"/>
      </top>
      <bottom/>
      <diagonal/>
    </border>
    <border>
      <left style="thin">
        <color rgb="FFBCBCBC"/>
      </left>
      <right/>
      <top/>
      <bottom style="thin">
        <color rgb="FFBCBCBC"/>
      </bottom>
      <diagonal/>
    </border>
    <border>
      <left style="thin">
        <color rgb="FF999999"/>
      </left>
      <right/>
      <top style="thin">
        <color rgb="FF999999"/>
      </top>
      <bottom style="thin">
        <color rgb="FF999999"/>
      </bottom>
      <diagonal/>
    </border>
    <border>
      <left/>
      <right/>
      <top style="thin">
        <color rgb="FF999999"/>
      </top>
      <bottom style="thin">
        <color rgb="FF999999"/>
      </bottom>
      <diagonal/>
    </border>
    <border>
      <left/>
      <right style="thin">
        <color rgb="FF999999"/>
      </right>
      <top style="thin">
        <color rgb="FF999999"/>
      </top>
      <bottom style="thin">
        <color rgb="FF999999"/>
      </bottom>
      <diagonal/>
    </border>
    <border>
      <left/>
      <right style="thin">
        <color rgb="FFBCBCBC"/>
      </right>
      <top/>
      <bottom/>
      <diagonal/>
    </border>
    <border>
      <left/>
      <right style="thin">
        <color rgb="FFBCBCBC"/>
      </right>
      <top style="thin">
        <color rgb="FFBCBCBC"/>
      </top>
      <bottom/>
      <diagonal/>
    </border>
    <border>
      <left style="thin">
        <color rgb="FFC0C0C0"/>
      </left>
      <right style="thin">
        <color rgb="FFC0C0C0"/>
      </right>
      <top style="thin">
        <color rgb="FFBCBCBC"/>
      </top>
      <bottom style="thin">
        <color rgb="FFBCBCBC"/>
      </bottom>
      <diagonal/>
    </border>
    <border>
      <left style="thin">
        <color rgb="FFC0C0C0"/>
      </left>
      <right/>
      <top style="thin">
        <color rgb="FFBCBCBC"/>
      </top>
      <bottom style="thin">
        <color rgb="FFBCBCBC"/>
      </bottom>
      <diagonal/>
    </border>
    <border>
      <left/>
      <right style="thin">
        <color rgb="FFC0C0C0"/>
      </right>
      <top style="thin">
        <color rgb="FFBCBCBC"/>
      </top>
      <bottom style="thin">
        <color rgb="FFBCBCBC"/>
      </bottom>
      <diagonal/>
    </border>
    <border>
      <left style="thin">
        <color rgb="FFBCBCBC"/>
      </left>
      <right/>
      <top style="thin">
        <color rgb="FFBCBCBC"/>
      </top>
      <bottom style="thin">
        <color rgb="FFBCBCBC"/>
      </bottom>
      <diagonal/>
    </border>
    <border>
      <left/>
      <right style="thin">
        <color rgb="FFBCBCBC"/>
      </right>
      <top style="thin">
        <color rgb="FFBCBCBC"/>
      </top>
      <bottom style="thin">
        <color rgb="FFBCBCBC"/>
      </bottom>
      <diagonal/>
    </border>
    <border>
      <left style="thin">
        <color rgb="FFBCBCBC"/>
      </left>
      <right/>
      <top style="thin">
        <color rgb="FFBCBCBC"/>
      </top>
      <bottom style="thin">
        <color rgb="FFC0C0C0"/>
      </bottom>
      <diagonal/>
    </border>
    <border>
      <left style="thin">
        <color rgb="FFC0C0C0"/>
      </left>
      <right style="thin">
        <color rgb="FFC0C0C0"/>
      </right>
      <top style="thin">
        <color rgb="FFC0C0C0"/>
      </top>
      <bottom style="medium">
        <color rgb="FFC0C0C0"/>
      </bottom>
      <diagonal/>
    </border>
  </borders>
  <cellStyleXfs count="16">
    <xf numFmtId="49" fontId="0" fillId="0" borderId="0" applyFill="0" applyBorder="0">
      <alignment vertical="top"/>
    </xf>
    <xf numFmtId="0" fontId="2" fillId="0" borderId="0" applyFill="0" applyBorder="0">
      <alignment vertical="top"/>
    </xf>
    <xf numFmtId="0" fontId="3" fillId="0" borderId="0" applyFill="0" applyBorder="0"/>
    <xf numFmtId="164" fontId="3" fillId="0" borderId="0" applyFill="0" applyBorder="0"/>
    <xf numFmtId="38" fontId="4" fillId="0" borderId="0" applyFill="0" applyBorder="0">
      <alignment vertical="top"/>
    </xf>
    <xf numFmtId="165" fontId="5" fillId="6" borderId="0" applyBorder="0">
      <protection locked="0"/>
    </xf>
    <xf numFmtId="0" fontId="6" fillId="0" borderId="0" applyFill="0" applyBorder="0">
      <alignment vertical="center"/>
    </xf>
    <xf numFmtId="166" fontId="5" fillId="6" borderId="0" applyBorder="0">
      <protection locked="0"/>
    </xf>
    <xf numFmtId="167" fontId="5" fillId="6" borderId="0" applyBorder="0">
      <protection locked="0"/>
    </xf>
    <xf numFmtId="0" fontId="7" fillId="0" borderId="0" applyFill="0" applyBorder="0">
      <alignment vertical="top"/>
    </xf>
    <xf numFmtId="0" fontId="8" fillId="0" borderId="0" applyFill="0" applyBorder="0"/>
    <xf numFmtId="49" fontId="5" fillId="0" borderId="0" applyFill="0" applyBorder="0">
      <alignment vertical="top"/>
    </xf>
    <xf numFmtId="0" fontId="10" fillId="0" borderId="0" applyFill="0" applyBorder="0"/>
    <xf numFmtId="49" fontId="110" fillId="0" borderId="0" applyFill="0" applyBorder="0">
      <alignment vertical="top"/>
    </xf>
    <xf numFmtId="0" fontId="11" fillId="0" borderId="0" applyFill="0" applyBorder="0"/>
    <xf numFmtId="0" fontId="12" fillId="0" borderId="0" applyFill="0" applyBorder="0">
      <alignment vertical="top"/>
    </xf>
  </cellStyleXfs>
  <cellXfs count="3177">
    <xf numFmtId="49" fontId="0" fillId="0" borderId="0" xfId="0" applyNumberFormat="1" applyFont="1">
      <alignment vertical="top"/>
    </xf>
    <xf numFmtId="0" fontId="27" fillId="19" borderId="51" xfId="0" applyNumberFormat="1" applyFont="1" applyFill="1" applyBorder="1" applyAlignment="1">
      <alignment horizontal="right" vertical="center" wrapText="1" indent="1"/>
    </xf>
    <xf numFmtId="49" fontId="0" fillId="0" borderId="0" xfId="13" applyNumberFormat="1" applyFont="1">
      <alignment vertical="top"/>
    </xf>
    <xf numFmtId="0" fontId="11" fillId="0" borderId="0" xfId="14" applyFont="1"/>
    <xf numFmtId="49" fontId="0" fillId="0" borderId="0" xfId="13" applyNumberFormat="1" applyFont="1">
      <alignment vertical="top"/>
    </xf>
    <xf numFmtId="0" fontId="5" fillId="0" borderId="0" xfId="0" applyNumberFormat="1" applyFont="1" applyAlignment="1">
      <alignment vertical="top" wrapText="1"/>
    </xf>
    <xf numFmtId="49" fontId="0" fillId="0" borderId="0" xfId="0" applyNumberFormat="1" applyFont="1">
      <alignment vertical="top"/>
    </xf>
    <xf numFmtId="49" fontId="5" fillId="7" borderId="1" xfId="0" applyNumberFormat="1" applyFont="1" applyFill="1" applyBorder="1" applyAlignment="1">
      <alignment horizontal="center" vertical="top"/>
    </xf>
    <xf numFmtId="49" fontId="0" fillId="0" borderId="0" xfId="0" applyNumberFormat="1" applyFont="1">
      <alignment vertical="top"/>
    </xf>
    <xf numFmtId="0" fontId="5" fillId="0" borderId="0" xfId="0" applyNumberFormat="1" applyFont="1" applyAlignment="1"/>
    <xf numFmtId="0" fontId="5" fillId="8" borderId="0" xfId="0" applyNumberFormat="1" applyFont="1" applyFill="1" applyAlignment="1"/>
    <xf numFmtId="0" fontId="13" fillId="0" borderId="0" xfId="0" applyNumberFormat="1" applyFont="1" applyAlignment="1">
      <alignment vertical="center" wrapText="1"/>
    </xf>
    <xf numFmtId="0" fontId="14" fillId="0" borderId="0" xfId="0" applyNumberFormat="1" applyFont="1" applyAlignment="1">
      <alignment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5" fillId="8" borderId="0" xfId="0" applyNumberFormat="1" applyFont="1" applyFill="1" applyAlignment="1">
      <alignment horizontal="right" vertical="center" wrapText="1" indent="1"/>
    </xf>
    <xf numFmtId="0" fontId="5" fillId="8" borderId="0" xfId="0" applyNumberFormat="1" applyFont="1" applyFill="1" applyAlignment="1">
      <alignment horizontal="center" vertical="center" wrapText="1"/>
    </xf>
    <xf numFmtId="0" fontId="14" fillId="0" borderId="0" xfId="0" applyNumberFormat="1" applyFont="1" applyAlignment="1">
      <alignment horizontal="center" vertical="center" wrapText="1"/>
    </xf>
    <xf numFmtId="0" fontId="16" fillId="8" borderId="0" xfId="0" applyNumberFormat="1" applyFont="1" applyFill="1" applyAlignment="1">
      <alignment horizontal="center" vertical="center" wrapText="1"/>
    </xf>
    <xf numFmtId="0" fontId="5" fillId="0" borderId="0" xfId="0" applyNumberFormat="1" applyFont="1" applyAlignment="1">
      <alignment vertical="center"/>
    </xf>
    <xf numFmtId="49" fontId="5" fillId="8" borderId="0" xfId="0" applyNumberFormat="1" applyFont="1" applyFill="1" applyAlignment="1">
      <alignment horizontal="right" vertical="center" wrapText="1" indent="1"/>
    </xf>
    <xf numFmtId="49" fontId="15" fillId="8" borderId="0" xfId="0" applyNumberFormat="1" applyFont="1" applyFill="1" applyAlignment="1">
      <alignment horizontal="center" vertical="center" wrapText="1"/>
    </xf>
    <xf numFmtId="0" fontId="5" fillId="0" borderId="0" xfId="0" applyNumberFormat="1" applyFont="1" applyAlignment="1">
      <alignment vertical="center" wrapText="1"/>
    </xf>
    <xf numFmtId="0" fontId="5" fillId="8" borderId="0" xfId="0" applyNumberFormat="1" applyFont="1" applyFill="1" applyAlignment="1">
      <alignment vertical="center" wrapText="1"/>
    </xf>
    <xf numFmtId="0" fontId="5" fillId="8" borderId="0" xfId="0" applyNumberFormat="1" applyFont="1" applyFill="1" applyAlignment="1">
      <alignment horizontal="right" vertical="center" wrapText="1"/>
    </xf>
    <xf numFmtId="49" fontId="0" fillId="8" borderId="0" xfId="0" applyNumberFormat="1" applyFont="1" applyFill="1" applyAlignment="1">
      <alignment horizontal="right" vertical="center" wrapText="1" indent="1"/>
    </xf>
    <xf numFmtId="49" fontId="17" fillId="8" borderId="0" xfId="0" applyNumberFormat="1" applyFont="1" applyFill="1" applyAlignment="1">
      <alignment horizontal="center" vertical="center" wrapText="1"/>
    </xf>
    <xf numFmtId="49" fontId="0" fillId="0" borderId="0" xfId="0" applyNumberFormat="1" applyFont="1">
      <alignment vertical="top"/>
    </xf>
    <xf numFmtId="49" fontId="0" fillId="0" borderId="0" xfId="0" applyNumberFormat="1" applyFont="1">
      <alignment vertical="top"/>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xf>
    <xf numFmtId="0" fontId="18" fillId="8" borderId="0" xfId="0" applyNumberFormat="1" applyFont="1" applyFill="1" applyAlignment="1">
      <alignment horizontal="center" vertical="center"/>
    </xf>
    <xf numFmtId="49" fontId="19" fillId="0" borderId="2" xfId="0" applyNumberFormat="1" applyFont="1" applyBorder="1" applyAlignment="1">
      <alignment vertical="top" wrapText="1"/>
    </xf>
    <xf numFmtId="0" fontId="0" fillId="0" borderId="2" xfId="0" applyNumberFormat="1" applyFont="1" applyBorder="1" applyAlignment="1">
      <alignment vertical="top" wrapText="1"/>
    </xf>
    <xf numFmtId="0" fontId="5" fillId="8" borderId="0" xfId="0" applyNumberFormat="1" applyFont="1" applyFill="1" applyAlignment="1">
      <alignment horizontal="center" vertical="center" wrapText="1"/>
    </xf>
    <xf numFmtId="0" fontId="20" fillId="8" borderId="0" xfId="0" applyNumberFormat="1" applyFont="1" applyFill="1" applyAlignment="1">
      <alignment vertical="center" wrapText="1"/>
    </xf>
    <xf numFmtId="0" fontId="20" fillId="0" borderId="0" xfId="0" applyNumberFormat="1" applyFont="1" applyAlignment="1">
      <alignment vertical="center" wrapText="1"/>
    </xf>
    <xf numFmtId="0" fontId="13" fillId="0" borderId="0" xfId="0" applyNumberFormat="1" applyFont="1" applyAlignment="1">
      <alignment horizontal="left" vertical="center" wrapText="1"/>
    </xf>
    <xf numFmtId="49" fontId="13" fillId="0" borderId="0" xfId="0" applyNumberFormat="1" applyFont="1" applyAlignment="1">
      <alignment horizontal="left" vertical="center" wrapText="1"/>
    </xf>
    <xf numFmtId="0" fontId="0" fillId="0" borderId="0" xfId="0" applyNumberFormat="1" applyFont="1">
      <alignment vertical="top"/>
    </xf>
    <xf numFmtId="49" fontId="5"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0" fillId="0" borderId="0" xfId="0" applyNumberFormat="1" applyFont="1" applyAlignment="1">
      <alignment vertical="center"/>
    </xf>
    <xf numFmtId="0" fontId="5" fillId="8" borderId="3" xfId="0" applyNumberFormat="1" applyFont="1" applyFill="1" applyBorder="1" applyAlignment="1">
      <alignment horizontal="center" vertical="center" wrapText="1"/>
    </xf>
    <xf numFmtId="49" fontId="5" fillId="9" borderId="3" xfId="0" applyNumberFormat="1" applyFont="1" applyFill="1" applyBorder="1" applyAlignment="1" applyProtection="1">
      <alignment horizontal="left" vertical="center" wrapText="1"/>
      <protection locked="0"/>
    </xf>
    <xf numFmtId="49" fontId="21" fillId="10" borderId="4" xfId="0" applyNumberFormat="1" applyFont="1" applyFill="1" applyBorder="1" applyAlignment="1">
      <alignment horizontal="left" vertical="center"/>
    </xf>
    <xf numFmtId="0" fontId="0" fillId="0" borderId="3" xfId="0" applyNumberFormat="1" applyFont="1" applyBorder="1" applyAlignment="1">
      <alignment horizontal="center" vertical="center" wrapText="1"/>
    </xf>
    <xf numFmtId="0" fontId="5" fillId="10" borderId="5"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22" fillId="0" borderId="0" xfId="0" applyNumberFormat="1" applyFont="1" applyAlignment="1">
      <alignment vertical="center"/>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center" vertical="center"/>
    </xf>
    <xf numFmtId="49" fontId="5" fillId="9" borderId="3" xfId="0" applyNumberFormat="1" applyFont="1" applyFill="1" applyBorder="1" applyAlignment="1" applyProtection="1">
      <alignment horizontal="left" vertical="center" wrapText="1"/>
      <protection locked="0"/>
    </xf>
    <xf numFmtId="0" fontId="13" fillId="0" borderId="0" xfId="0" applyNumberFormat="1" applyFont="1" applyAlignment="1">
      <alignment vertical="center" wrapText="1"/>
    </xf>
    <xf numFmtId="0" fontId="23" fillId="0" borderId="0" xfId="0" applyNumberFormat="1" applyFont="1" applyAlignment="1">
      <alignment vertical="center" wrapText="1"/>
    </xf>
    <xf numFmtId="49" fontId="5" fillId="0" borderId="0" xfId="0" applyNumberFormat="1" applyFont="1">
      <alignment vertical="top"/>
    </xf>
    <xf numFmtId="49" fontId="13" fillId="0" borderId="0" xfId="0" applyNumberFormat="1" applyFont="1">
      <alignment vertical="top"/>
    </xf>
    <xf numFmtId="49" fontId="5" fillId="0" borderId="0" xfId="0" applyNumberFormat="1" applyFont="1">
      <alignment vertical="top"/>
    </xf>
    <xf numFmtId="49" fontId="18" fillId="0" borderId="0" xfId="0" applyNumberFormat="1" applyFont="1" applyAlignment="1">
      <alignment horizontal="center" vertical="center"/>
    </xf>
    <xf numFmtId="49" fontId="5" fillId="0" borderId="0" xfId="0" applyNumberFormat="1" applyFont="1">
      <alignment vertical="top"/>
    </xf>
    <xf numFmtId="0" fontId="5" fillId="8" borderId="0" xfId="0" applyNumberFormat="1" applyFont="1" applyFill="1" applyAlignment="1"/>
    <xf numFmtId="0" fontId="24" fillId="8" borderId="0" xfId="0" applyNumberFormat="1" applyFont="1" applyFill="1" applyAlignment="1">
      <alignment horizontal="center" vertical="center" wrapText="1"/>
    </xf>
    <xf numFmtId="0" fontId="13" fillId="8" borderId="0" xfId="0" applyNumberFormat="1" applyFont="1" applyFill="1" applyAlignment="1"/>
    <xf numFmtId="49" fontId="5" fillId="0" borderId="0" xfId="0" applyNumberFormat="1" applyFont="1">
      <alignment vertical="top"/>
    </xf>
    <xf numFmtId="49" fontId="1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25" fillId="10" borderId="6" xfId="0" applyNumberFormat="1" applyFont="1" applyFill="1" applyBorder="1" applyAlignment="1">
      <alignment horizontal="center" vertical="top"/>
    </xf>
    <xf numFmtId="49" fontId="21" fillId="10" borderId="6" xfId="0" applyNumberFormat="1" applyFont="1" applyFill="1" applyBorder="1" applyAlignment="1">
      <alignment horizontal="left" vertical="center"/>
    </xf>
    <xf numFmtId="0" fontId="22" fillId="0" borderId="0" xfId="0" applyNumberFormat="1" applyFont="1" applyAlignment="1">
      <alignment vertical="center"/>
    </xf>
    <xf numFmtId="0" fontId="0"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26" fillId="0" borderId="0" xfId="0" applyNumberFormat="1" applyFont="1" applyAlignment="1">
      <alignment horizontal="right" vertical="top"/>
    </xf>
    <xf numFmtId="49" fontId="26" fillId="0" borderId="0" xfId="0" applyNumberFormat="1" applyFont="1">
      <alignment vertical="top"/>
    </xf>
    <xf numFmtId="0" fontId="5" fillId="0" borderId="0" xfId="0" applyNumberFormat="1" applyFont="1" applyAlignment="1">
      <alignment horizontal="center" vertical="center" wrapText="1"/>
    </xf>
    <xf numFmtId="49" fontId="5" fillId="0" borderId="0" xfId="0" applyNumberFormat="1" applyFont="1">
      <alignment vertical="top"/>
    </xf>
    <xf numFmtId="0" fontId="0" fillId="0" borderId="0" xfId="0" applyNumberFormat="1" applyFont="1" applyAlignment="1">
      <alignment vertical="center"/>
    </xf>
    <xf numFmtId="0" fontId="27" fillId="0" borderId="0" xfId="0" applyNumberFormat="1" applyFont="1" applyAlignment="1">
      <alignment vertical="center" wrapText="1"/>
    </xf>
    <xf numFmtId="49" fontId="5" fillId="0" borderId="7" xfId="0" applyNumberFormat="1" applyFont="1" applyBorder="1">
      <alignment vertical="top"/>
    </xf>
    <xf numFmtId="49" fontId="28" fillId="0" borderId="0" xfId="0" applyNumberFormat="1" applyFont="1">
      <alignment vertical="top"/>
    </xf>
    <xf numFmtId="0" fontId="28" fillId="0" borderId="0" xfId="0" applyNumberFormat="1" applyFont="1" applyAlignment="1">
      <alignment vertical="center" wrapText="1"/>
    </xf>
    <xf numFmtId="49" fontId="0" fillId="8" borderId="3" xfId="0" applyNumberFormat="1" applyFont="1" applyFill="1" applyBorder="1" applyAlignment="1">
      <alignment horizontal="center" vertical="center" wrapText="1"/>
    </xf>
    <xf numFmtId="0" fontId="13" fillId="0" borderId="0" xfId="0" applyNumberFormat="1" applyFont="1" applyAlignment="1">
      <alignment horizontal="left" vertical="center" wrapText="1"/>
    </xf>
    <xf numFmtId="49" fontId="5" fillId="0" borderId="3" xfId="0" applyNumberFormat="1" applyFont="1" applyBorder="1" applyAlignment="1">
      <alignment horizontal="left" vertical="center" wrapText="1"/>
    </xf>
    <xf numFmtId="0" fontId="5" fillId="8" borderId="8" xfId="0" applyNumberFormat="1" applyFont="1" applyFill="1" applyBorder="1" applyAlignment="1">
      <alignment horizontal="center" vertical="center"/>
    </xf>
    <xf numFmtId="0" fontId="5" fillId="0" borderId="3" xfId="0" applyNumberFormat="1" applyFont="1" applyBorder="1" applyAlignment="1">
      <alignment vertical="center" wrapText="1"/>
    </xf>
    <xf numFmtId="0" fontId="29"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top" wrapText="1"/>
    </xf>
    <xf numFmtId="49" fontId="5" fillId="0" borderId="3" xfId="0" applyNumberFormat="1" applyFont="1" applyBorder="1" applyAlignment="1">
      <alignment horizontal="center" vertical="center" wrapText="1"/>
    </xf>
    <xf numFmtId="0" fontId="27" fillId="0" borderId="9" xfId="0" applyNumberFormat="1" applyFont="1" applyBorder="1" applyAlignment="1">
      <alignment vertical="top" wrapText="1"/>
    </xf>
    <xf numFmtId="49" fontId="0" fillId="0" borderId="3" xfId="0" applyNumberFormat="1" applyFont="1" applyBorder="1" applyAlignment="1">
      <alignment vertical="top" wrapText="1"/>
    </xf>
    <xf numFmtId="0" fontId="0" fillId="0" borderId="3" xfId="0" applyNumberFormat="1" applyFont="1" applyBorder="1" applyAlignment="1">
      <alignment vertical="top" wrapText="1"/>
    </xf>
    <xf numFmtId="0" fontId="1" fillId="0" borderId="0" xfId="0" applyNumberFormat="1" applyFont="1" applyAlignment="1"/>
    <xf numFmtId="0" fontId="0" fillId="0" borderId="0" xfId="0" applyNumberFormat="1" applyFont="1" applyAlignment="1"/>
    <xf numFmtId="0" fontId="18"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4" fontId="5" fillId="0" borderId="0" xfId="0" applyNumberFormat="1" applyFont="1" applyAlignment="1">
      <alignment horizontal="right" vertical="center" wrapText="1"/>
    </xf>
    <xf numFmtId="0" fontId="5" fillId="0" borderId="0" xfId="0" applyNumberFormat="1" applyFont="1" applyAlignment="1">
      <alignment horizontal="left" vertical="center" wrapText="1" indent="1"/>
    </xf>
    <xf numFmtId="49" fontId="5" fillId="0" borderId="0" xfId="0" applyNumberFormat="1" applyFont="1">
      <alignment vertical="top"/>
    </xf>
    <xf numFmtId="4" fontId="5" fillId="0" borderId="0" xfId="0" applyNumberFormat="1" applyFont="1" applyAlignment="1">
      <alignment horizontal="center" vertical="center" wrapText="1"/>
    </xf>
    <xf numFmtId="0" fontId="28" fillId="0" borderId="0" xfId="0" applyNumberFormat="1" applyFont="1" applyAlignment="1">
      <alignment vertical="center"/>
    </xf>
    <xf numFmtId="169" fontId="5" fillId="0" borderId="3" xfId="0" applyNumberFormat="1" applyFont="1" applyBorder="1" applyAlignment="1">
      <alignment horizontal="center" vertical="center" wrapText="1"/>
    </xf>
    <xf numFmtId="49" fontId="28" fillId="10" borderId="10" xfId="0" applyNumberFormat="1" applyFont="1" applyFill="1" applyBorder="1" applyAlignment="1">
      <alignment horizontal="left" vertical="center" wrapText="1"/>
    </xf>
    <xf numFmtId="49" fontId="0" fillId="10" borderId="6" xfId="0" applyNumberFormat="1" applyFont="1" applyFill="1" applyBorder="1" applyAlignment="1">
      <alignment horizontal="left" vertical="center"/>
    </xf>
    <xf numFmtId="49" fontId="28" fillId="10" borderId="11" xfId="0" applyNumberFormat="1" applyFont="1" applyFill="1" applyBorder="1" applyAlignment="1">
      <alignment horizontal="left" vertical="center" wrapText="1"/>
    </xf>
    <xf numFmtId="0" fontId="17" fillId="0" borderId="0" xfId="0" applyNumberFormat="1" applyFont="1" applyAlignment="1">
      <alignment horizontal="center" vertical="center" wrapText="1"/>
    </xf>
    <xf numFmtId="49" fontId="31" fillId="10" borderId="6" xfId="0" applyNumberFormat="1" applyFont="1" applyFill="1" applyBorder="1" applyAlignment="1">
      <alignment horizontal="right" vertical="center" wrapText="1"/>
    </xf>
    <xf numFmtId="49" fontId="5" fillId="10" borderId="6" xfId="0" applyNumberFormat="1" applyFont="1" applyFill="1" applyBorder="1" applyAlignment="1">
      <alignment horizontal="right" vertical="center" wrapText="1"/>
    </xf>
    <xf numFmtId="49" fontId="5" fillId="10" borderId="4" xfId="0" applyNumberFormat="1" applyFont="1" applyFill="1" applyBorder="1" applyAlignment="1">
      <alignment horizontal="right" vertical="center" wrapText="1"/>
    </xf>
    <xf numFmtId="0" fontId="5" fillId="0" borderId="12" xfId="0" applyNumberFormat="1" applyFont="1" applyBorder="1" applyAlignment="1">
      <alignment vertical="center" wrapText="1"/>
    </xf>
    <xf numFmtId="0" fontId="26" fillId="0" borderId="0" xfId="0" applyNumberFormat="1" applyFont="1" applyAlignment="1">
      <alignment vertical="center" wrapText="1"/>
    </xf>
    <xf numFmtId="0" fontId="32" fillId="0" borderId="0" xfId="0" applyNumberFormat="1" applyFont="1" applyAlignment="1">
      <alignment horizontal="center" vertical="center" wrapText="1"/>
    </xf>
    <xf numFmtId="49" fontId="0" fillId="8" borderId="0" xfId="0" applyNumberFormat="1" applyFont="1" applyFill="1">
      <alignment vertical="top"/>
    </xf>
    <xf numFmtId="49" fontId="33" fillId="11" borderId="0" xfId="0" applyNumberFormat="1" applyFont="1" applyFill="1">
      <alignment vertical="top"/>
    </xf>
    <xf numFmtId="49" fontId="33" fillId="0" borderId="0" xfId="0" applyNumberFormat="1" applyFont="1">
      <alignment vertical="top"/>
    </xf>
    <xf numFmtId="0" fontId="28" fillId="0" borderId="0" xfId="0" applyNumberFormat="1" applyFont="1" applyAlignment="1">
      <alignment vertical="center"/>
    </xf>
    <xf numFmtId="49" fontId="0" fillId="10" borderId="6" xfId="0" applyNumberFormat="1" applyFont="1" applyFill="1" applyBorder="1" applyAlignment="1">
      <alignment horizontal="right" vertical="center" wrapText="1"/>
    </xf>
    <xf numFmtId="49" fontId="0" fillId="0" borderId="0" xfId="0" applyNumberFormat="1" applyFont="1">
      <alignment vertical="top"/>
    </xf>
    <xf numFmtId="0" fontId="31" fillId="0" borderId="2" xfId="0" applyNumberFormat="1" applyFont="1" applyBorder="1" applyAlignment="1">
      <alignment vertical="center" wrapText="1"/>
    </xf>
    <xf numFmtId="0" fontId="27" fillId="0" borderId="0" xfId="0" applyNumberFormat="1" applyFont="1" applyAlignment="1">
      <alignment vertical="top" wrapText="1"/>
    </xf>
    <xf numFmtId="0" fontId="5" fillId="0" borderId="2" xfId="0" applyNumberFormat="1" applyFont="1" applyBorder="1" applyAlignment="1">
      <alignment vertical="center" wrapText="1"/>
    </xf>
    <xf numFmtId="49" fontId="5" fillId="0" borderId="0" xfId="0" applyNumberFormat="1" applyFont="1">
      <alignment vertical="top"/>
    </xf>
    <xf numFmtId="0" fontId="5" fillId="8" borderId="0" xfId="0" applyNumberFormat="1" applyFont="1" applyFill="1" applyAlignment="1">
      <alignment horizontal="right" vertical="center"/>
    </xf>
    <xf numFmtId="0" fontId="0" fillId="0" borderId="3" xfId="0" applyNumberFormat="1" applyFont="1" applyBorder="1" applyAlignment="1">
      <alignment horizontal="left" vertical="center" wrapText="1" indent="1"/>
    </xf>
    <xf numFmtId="0" fontId="0" fillId="12" borderId="3" xfId="0" applyNumberFormat="1" applyFont="1" applyFill="1" applyBorder="1" applyAlignment="1" applyProtection="1">
      <alignment horizontal="left" vertical="center" wrapText="1" indent="2"/>
      <protection locked="0"/>
    </xf>
    <xf numFmtId="49" fontId="29" fillId="0" borderId="0" xfId="0" applyNumberFormat="1" applyFont="1">
      <alignment vertical="top"/>
    </xf>
    <xf numFmtId="0" fontId="0" fillId="0" borderId="3" xfId="0" applyNumberFormat="1" applyFont="1" applyBorder="1" applyAlignment="1">
      <alignment vertical="center" wrapText="1"/>
    </xf>
    <xf numFmtId="0" fontId="0" fillId="0" borderId="3"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indent="1"/>
      <protection locked="0"/>
    </xf>
    <xf numFmtId="49" fontId="21" fillId="10" borderId="6" xfId="0" applyNumberFormat="1" applyFont="1" applyFill="1" applyBorder="1" applyAlignment="1">
      <alignment horizontal="left" vertical="center" indent="3"/>
    </xf>
    <xf numFmtId="49" fontId="25" fillId="10" borderId="4" xfId="0" applyNumberFormat="1" applyFont="1" applyFill="1" applyBorder="1" applyAlignment="1">
      <alignment horizontal="center" vertical="top"/>
    </xf>
    <xf numFmtId="0" fontId="27" fillId="0" borderId="0" xfId="0" applyNumberFormat="1" applyFont="1" applyAlignment="1">
      <alignment horizontal="right" vertical="top"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indent="2"/>
    </xf>
    <xf numFmtId="0" fontId="0" fillId="0" borderId="3" xfId="0" applyNumberFormat="1" applyFont="1" applyBorder="1" applyAlignment="1">
      <alignment horizontal="left" vertical="center" wrapText="1" indent="1"/>
    </xf>
    <xf numFmtId="0" fontId="0" fillId="0" borderId="3" xfId="0" applyNumberFormat="1" applyFont="1" applyBorder="1" applyAlignment="1">
      <alignment horizontal="left" vertical="center" wrapText="1" indent="2"/>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vertical="top" wrapText="1"/>
    </xf>
    <xf numFmtId="0" fontId="18" fillId="0" borderId="0" xfId="0" applyNumberFormat="1" applyFont="1" applyAlignment="1">
      <alignment horizontal="center" vertical="center" wrapText="1"/>
    </xf>
    <xf numFmtId="49" fontId="0" fillId="0" borderId="8" xfId="0" applyNumberFormat="1" applyFont="1" applyBorder="1">
      <alignment vertical="top"/>
    </xf>
    <xf numFmtId="0" fontId="29" fillId="0" borderId="0" xfId="0" applyNumberFormat="1" applyFont="1" applyAlignment="1">
      <alignment vertical="center"/>
    </xf>
    <xf numFmtId="0" fontId="34" fillId="0" borderId="0" xfId="0" applyNumberFormat="1" applyFont="1" applyAlignment="1">
      <alignment vertical="center"/>
    </xf>
    <xf numFmtId="49" fontId="35" fillId="12" borderId="3" xfId="0" applyNumberFormat="1" applyFont="1" applyFill="1" applyBorder="1" applyAlignment="1" applyProtection="1">
      <alignment horizontal="left" vertical="center" wrapText="1"/>
      <protection locked="0"/>
    </xf>
    <xf numFmtId="49" fontId="25" fillId="10" borderId="4" xfId="0" applyNumberFormat="1" applyFont="1" applyFill="1" applyBorder="1" applyAlignment="1">
      <alignment horizontal="center" vertical="top"/>
    </xf>
    <xf numFmtId="0" fontId="0" fillId="7" borderId="3" xfId="0" applyNumberFormat="1" applyFont="1" applyFill="1" applyBorder="1" applyAlignment="1">
      <alignment horizontal="left" vertical="center" wrapText="1" indent="1"/>
    </xf>
    <xf numFmtId="49" fontId="5" fillId="12" borderId="3" xfId="0" applyNumberFormat="1" applyFont="1" applyFill="1" applyBorder="1" applyAlignment="1" applyProtection="1">
      <alignment horizontal="left" vertical="center" wrapText="1" indent="1"/>
      <protection locked="0"/>
    </xf>
    <xf numFmtId="49" fontId="5" fillId="7" borderId="3" xfId="0" applyNumberFormat="1" applyFont="1" applyFill="1" applyBorder="1" applyAlignment="1">
      <alignment horizontal="left" vertical="center" wrapText="1" indent="1"/>
    </xf>
    <xf numFmtId="49" fontId="5" fillId="0" borderId="3"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27" fillId="0" borderId="0" xfId="0" applyNumberFormat="1" applyFont="1" applyAlignment="1">
      <alignmen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49" fontId="17" fillId="0" borderId="6" xfId="0" applyNumberFormat="1" applyFont="1" applyBorder="1" applyAlignment="1">
      <alignment horizontal="center" vertical="center" wrapText="1"/>
    </xf>
    <xf numFmtId="0" fontId="36" fillId="0" borderId="0" xfId="0" applyNumberFormat="1" applyFont="1" applyAlignment="1">
      <alignment vertical="center"/>
    </xf>
    <xf numFmtId="0" fontId="37"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horizontal="left" vertical="center" wrapText="1" indent="1"/>
    </xf>
    <xf numFmtId="0" fontId="28" fillId="0" borderId="0" xfId="0" applyNumberFormat="1" applyFont="1" applyAlignment="1">
      <alignment horizontal="left" vertical="center" wrapText="1" indent="1"/>
    </xf>
    <xf numFmtId="0" fontId="38" fillId="0" borderId="0" xfId="0" applyNumberFormat="1" applyFont="1" applyAlignment="1">
      <alignment horizontal="left" vertical="center" wrapText="1" indent="1"/>
    </xf>
    <xf numFmtId="0" fontId="39" fillId="0" borderId="0" xfId="0" applyNumberFormat="1" applyFont="1" applyAlignment="1">
      <alignment horizontal="left" vertical="center" indent="1"/>
    </xf>
    <xf numFmtId="0" fontId="38" fillId="0" borderId="0" xfId="0" applyNumberFormat="1" applyFont="1" applyAlignment="1">
      <alignment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42" fillId="8" borderId="0" xfId="0" applyNumberFormat="1" applyFont="1" applyFill="1" applyAlignment="1">
      <alignment horizontal="right" vertical="center" wrapText="1" indent="1"/>
    </xf>
    <xf numFmtId="0" fontId="44" fillId="8" borderId="0" xfId="0" applyNumberFormat="1" applyFont="1" applyFill="1" applyAlignment="1">
      <alignment horizontal="center" vertical="center" wrapText="1"/>
    </xf>
    <xf numFmtId="0" fontId="40" fillId="8" borderId="0" xfId="0" applyNumberFormat="1" applyFont="1" applyFill="1" applyAlignment="1">
      <alignment horizontal="center" vertical="center" wrapText="1"/>
    </xf>
    <xf numFmtId="0" fontId="42" fillId="8" borderId="0" xfId="0" applyNumberFormat="1" applyFont="1" applyFill="1" applyAlignment="1">
      <alignment horizontal="left" vertical="center" wrapText="1" indent="1"/>
    </xf>
    <xf numFmtId="0" fontId="45" fillId="0" borderId="0" xfId="0" applyNumberFormat="1" applyFont="1" applyAlignment="1">
      <alignment horizontal="left" vertical="center" wrapText="1"/>
    </xf>
    <xf numFmtId="0" fontId="45" fillId="0" borderId="0" xfId="0" applyNumberFormat="1" applyFont="1" applyAlignment="1">
      <alignment vertical="center" wrapText="1"/>
    </xf>
    <xf numFmtId="0" fontId="42" fillId="0" borderId="0" xfId="0" applyNumberFormat="1" applyFont="1" applyAlignment="1">
      <alignment vertical="center" wrapText="1"/>
    </xf>
    <xf numFmtId="0" fontId="42" fillId="0" borderId="0" xfId="0" applyNumberFormat="1" applyFont="1" applyAlignment="1">
      <alignment horizontal="right" vertical="center"/>
    </xf>
    <xf numFmtId="49" fontId="5" fillId="0" borderId="0" xfId="0" applyNumberFormat="1" applyFont="1" applyAlignment="1">
      <alignment vertical="center" wrapText="1"/>
    </xf>
    <xf numFmtId="0" fontId="0"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indent="1"/>
    </xf>
    <xf numFmtId="0" fontId="29" fillId="0" borderId="13" xfId="0" applyNumberFormat="1" applyFont="1" applyBorder="1" applyAlignment="1">
      <alignment vertical="center"/>
    </xf>
    <xf numFmtId="0" fontId="5"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xf>
    <xf numFmtId="49" fontId="0" fillId="0" borderId="3" xfId="0" applyNumberFormat="1" applyFont="1" applyBorder="1" applyAlignment="1">
      <alignment horizontal="left" vertical="center"/>
    </xf>
    <xf numFmtId="49" fontId="5" fillId="0" borderId="0" xfId="0" applyNumberFormat="1" applyFont="1">
      <alignment vertical="top"/>
    </xf>
    <xf numFmtId="0" fontId="5" fillId="0" borderId="0" xfId="0" applyNumberFormat="1" applyFont="1" applyAlignment="1">
      <alignment horizontal="left" vertical="center" wrapText="1" indent="2"/>
    </xf>
    <xf numFmtId="0" fontId="5" fillId="0" borderId="3" xfId="0" applyNumberFormat="1" applyFont="1" applyBorder="1" applyAlignment="1">
      <alignment vertical="top" wrapText="1"/>
    </xf>
    <xf numFmtId="0" fontId="0" fillId="12" borderId="3" xfId="0" applyNumberFormat="1" applyFont="1" applyFill="1" applyBorder="1" applyAlignment="1" applyProtection="1">
      <alignment horizontal="left" vertical="center" wrapText="1"/>
      <protection locked="0"/>
    </xf>
    <xf numFmtId="0" fontId="5" fillId="0" borderId="3" xfId="0" applyNumberFormat="1" applyFont="1" applyBorder="1" applyAlignment="1">
      <alignment horizontal="left" vertical="top"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31" fillId="10" borderId="5" xfId="0" applyNumberFormat="1" applyFont="1" applyFill="1" applyBorder="1" applyAlignment="1">
      <alignment horizontal="center" vertical="center"/>
    </xf>
    <xf numFmtId="49" fontId="21" fillId="10" borderId="4" xfId="0" applyNumberFormat="1" applyFont="1" applyFill="1" applyBorder="1" applyAlignment="1">
      <alignment horizontal="left" vertical="center"/>
    </xf>
    <xf numFmtId="0" fontId="5" fillId="0" borderId="0" xfId="0" applyNumberFormat="1" applyFont="1" applyAlignment="1"/>
    <xf numFmtId="0" fontId="46" fillId="0" borderId="0" xfId="0" applyNumberFormat="1" applyFont="1" applyAlignment="1">
      <alignment vertical="center" wrapText="1"/>
    </xf>
    <xf numFmtId="0" fontId="46" fillId="0" borderId="0" xfId="0" applyNumberFormat="1" applyFont="1" applyAlignment="1">
      <alignment vertical="center" wrapText="1"/>
    </xf>
    <xf numFmtId="0" fontId="46" fillId="0" borderId="0" xfId="0" applyNumberFormat="1" applyFont="1" applyAlignment="1"/>
    <xf numFmtId="49" fontId="47" fillId="0" borderId="0" xfId="0" applyNumberFormat="1" applyFont="1">
      <alignment vertical="top"/>
    </xf>
    <xf numFmtId="49" fontId="48" fillId="0" borderId="0" xfId="0" applyNumberFormat="1" applyFont="1">
      <alignment vertical="top"/>
    </xf>
    <xf numFmtId="0" fontId="5"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29" fillId="0" borderId="0" xfId="0" applyNumberFormat="1" applyFont="1">
      <alignment vertical="top"/>
    </xf>
    <xf numFmtId="49" fontId="29" fillId="0" borderId="0" xfId="0" applyNumberFormat="1" applyFont="1">
      <alignment vertical="top"/>
    </xf>
    <xf numFmtId="0" fontId="0" fillId="0" borderId="0" xfId="0" applyNumberFormat="1" applyFont="1">
      <alignment vertical="top"/>
    </xf>
    <xf numFmtId="49" fontId="5" fillId="0" borderId="3" xfId="0" applyNumberFormat="1" applyFont="1" applyBorder="1" applyAlignment="1">
      <alignment horizontal="right" vertical="center"/>
    </xf>
    <xf numFmtId="0" fontId="49"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wrapText="1"/>
    </xf>
    <xf numFmtId="0" fontId="5" fillId="0" borderId="3" xfId="0" applyNumberFormat="1" applyFont="1" applyBorder="1" applyAlignment="1">
      <alignment horizontal="left" vertical="center" wrapText="1"/>
    </xf>
    <xf numFmtId="0" fontId="50" fillId="0" borderId="0" xfId="0" applyNumberFormat="1" applyFont="1" applyAlignment="1">
      <alignment vertical="center"/>
    </xf>
    <xf numFmtId="49" fontId="17" fillId="8" borderId="0" xfId="0" applyNumberFormat="1" applyFont="1" applyFill="1" applyAlignment="1">
      <alignment horizontal="center" vertical="center" wrapText="1"/>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4"/>
    </xf>
    <xf numFmtId="0" fontId="5" fillId="8" borderId="3" xfId="0" applyNumberFormat="1" applyFont="1" applyFill="1" applyBorder="1" applyAlignment="1">
      <alignment horizontal="left" vertical="center" wrapText="1" indent="5"/>
    </xf>
    <xf numFmtId="49" fontId="21" fillId="10" borderId="6" xfId="0" applyNumberFormat="1" applyFont="1" applyFill="1" applyBorder="1" applyAlignment="1">
      <alignment horizontal="left" vertical="center" indent="5"/>
    </xf>
    <xf numFmtId="49" fontId="21" fillId="10" borderId="6" xfId="0" applyNumberFormat="1" applyFont="1" applyFill="1" applyBorder="1" applyAlignment="1">
      <alignment horizontal="left" vertical="center" indent="6"/>
    </xf>
    <xf numFmtId="0" fontId="5" fillId="0" borderId="3" xfId="0" applyNumberFormat="1" applyFont="1" applyBorder="1" applyAlignment="1">
      <alignment vertical="center" wrapText="1"/>
    </xf>
    <xf numFmtId="0" fontId="27" fillId="0" borderId="0" xfId="0" applyNumberFormat="1" applyFont="1" applyAlignment="1">
      <alignment vertical="center" wrapText="1"/>
    </xf>
    <xf numFmtId="0" fontId="51" fillId="8" borderId="0" xfId="0" applyNumberFormat="1" applyFont="1" applyFill="1" applyAlignment="1">
      <alignment vertical="center" wrapText="1"/>
    </xf>
    <xf numFmtId="49" fontId="5" fillId="0" borderId="3" xfId="0" applyNumberFormat="1" applyFont="1" applyBorder="1" applyAlignment="1">
      <alignment horizontal="center" vertical="center" wrapText="1"/>
    </xf>
    <xf numFmtId="49" fontId="0" fillId="0" borderId="0" xfId="0" applyNumberFormat="1" applyFont="1">
      <alignment vertical="top"/>
    </xf>
    <xf numFmtId="49" fontId="21" fillId="10" borderId="5" xfId="0" applyNumberFormat="1" applyFont="1" applyFill="1" applyBorder="1" applyAlignment="1">
      <alignment horizontal="left" vertical="center" indent="1"/>
    </xf>
    <xf numFmtId="0" fontId="0" fillId="8" borderId="3" xfId="0" applyNumberFormat="1" applyFont="1" applyFill="1" applyBorder="1" applyAlignment="1">
      <alignment horizontal="right" vertical="center" wrapText="1" indent="1"/>
    </xf>
    <xf numFmtId="49" fontId="0" fillId="0" borderId="3" xfId="0" applyNumberFormat="1" applyFont="1" applyBorder="1" applyAlignment="1">
      <alignment horizontal="left" vertical="center"/>
    </xf>
    <xf numFmtId="0" fontId="5" fillId="0" borderId="3" xfId="0" applyNumberFormat="1" applyFont="1" applyBorder="1" applyAlignment="1">
      <alignment vertical="top" wrapText="1"/>
    </xf>
    <xf numFmtId="0" fontId="5" fillId="0" borderId="3" xfId="0" applyNumberFormat="1" applyFont="1" applyBorder="1" applyAlignment="1">
      <alignment vertical="center" wrapText="1"/>
    </xf>
    <xf numFmtId="0" fontId="49" fillId="0" borderId="0" xfId="0" applyNumberFormat="1" applyFont="1" applyAlignment="1">
      <alignment vertical="center"/>
    </xf>
    <xf numFmtId="0" fontId="5" fillId="0" borderId="3" xfId="0" applyNumberFormat="1" applyFont="1" applyBorder="1" applyAlignment="1">
      <alignment horizontal="left" vertical="center" wrapText="1" indent="6"/>
    </xf>
    <xf numFmtId="0" fontId="5" fillId="0" borderId="8" xfId="0" applyNumberFormat="1" applyFont="1" applyBorder="1" applyAlignment="1">
      <alignment vertical="center" wrapText="1"/>
    </xf>
    <xf numFmtId="0" fontId="5" fillId="0" borderId="14" xfId="0" applyNumberFormat="1" applyFont="1" applyBorder="1" applyAlignment="1">
      <alignment vertical="center" wrapText="1"/>
    </xf>
    <xf numFmtId="49" fontId="0" fillId="10" borderId="4" xfId="0" applyNumberFormat="1" applyFont="1" applyFill="1" applyBorder="1" applyAlignment="1">
      <alignment horizontal="center" vertical="center" wrapText="1"/>
    </xf>
    <xf numFmtId="0" fontId="0" fillId="0" borderId="5" xfId="0" applyNumberFormat="1" applyFont="1" applyBorder="1" applyAlignment="1">
      <alignment vertical="center"/>
    </xf>
    <xf numFmtId="0" fontId="0" fillId="8" borderId="5" xfId="0" applyNumberFormat="1" applyFont="1" applyFill="1" applyBorder="1" applyAlignment="1">
      <alignment horizontal="right" vertical="center" wrapText="1" indent="1"/>
    </xf>
    <xf numFmtId="49" fontId="13" fillId="0" borderId="0" xfId="0" applyNumberFormat="1" applyFont="1">
      <alignment vertical="top"/>
    </xf>
    <xf numFmtId="0" fontId="20" fillId="8" borderId="0" xfId="0" applyNumberFormat="1" applyFont="1" applyFill="1" applyAlignment="1">
      <alignment vertical="center" wrapText="1"/>
    </xf>
    <xf numFmtId="0" fontId="5" fillId="8" borderId="3" xfId="0" applyNumberFormat="1" applyFont="1" applyFill="1" applyBorder="1" applyAlignment="1">
      <alignment horizontal="left" vertical="center" wrapText="1" indent="1"/>
    </xf>
    <xf numFmtId="0" fontId="5" fillId="8" borderId="3" xfId="0" applyNumberFormat="1" applyFont="1" applyFill="1" applyBorder="1" applyAlignment="1">
      <alignment horizontal="left" vertical="center" wrapText="1" indent="2"/>
    </xf>
    <xf numFmtId="0" fontId="5" fillId="8" borderId="3" xfId="0" applyNumberFormat="1" applyFont="1" applyFill="1" applyBorder="1" applyAlignment="1">
      <alignment horizontal="left" vertical="center" wrapText="1" indent="3"/>
    </xf>
    <xf numFmtId="0" fontId="5" fillId="0" borderId="3" xfId="0" applyNumberFormat="1" applyFont="1" applyBorder="1" applyAlignment="1">
      <alignment horizontal="left" vertical="center" wrapText="1" indent="4"/>
    </xf>
    <xf numFmtId="49" fontId="21" fillId="10" borderId="5" xfId="0" applyNumberFormat="1" applyFont="1" applyFill="1" applyBorder="1" applyAlignment="1">
      <alignment vertical="center" wrapText="1"/>
    </xf>
    <xf numFmtId="49" fontId="21" fillId="10" borderId="6" xfId="0" applyNumberFormat="1" applyFont="1" applyFill="1" applyBorder="1" applyAlignment="1">
      <alignment vertical="center"/>
    </xf>
    <xf numFmtId="49" fontId="21" fillId="10" borderId="6" xfId="0" applyNumberFormat="1" applyFont="1" applyFill="1" applyBorder="1" applyAlignment="1">
      <alignment vertical="center" wrapText="1"/>
    </xf>
    <xf numFmtId="0" fontId="5" fillId="0" borderId="0" xfId="0" applyNumberFormat="1" applyFont="1" applyAlignment="1">
      <alignment vertical="top" wrapText="1"/>
    </xf>
    <xf numFmtId="49" fontId="21" fillId="10" borderId="5"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0" fillId="0" borderId="0" xfId="0" applyNumberFormat="1" applyFont="1" applyAlignment="1">
      <alignment vertical="center"/>
    </xf>
    <xf numFmtId="49" fontId="0" fillId="0" borderId="0" xfId="0" applyNumberFormat="1" applyFont="1" applyAlignment="1">
      <alignment vertical="center"/>
    </xf>
    <xf numFmtId="0" fontId="31" fillId="8" borderId="0" xfId="0" applyNumberFormat="1" applyFont="1" applyFill="1" applyAlignment="1">
      <alignment horizontal="center" vertical="center" wrapText="1"/>
    </xf>
    <xf numFmtId="0" fontId="5" fillId="0" borderId="0" xfId="0" applyNumberFormat="1" applyFont="1" applyAlignment="1">
      <alignment vertical="center" wrapText="1"/>
    </xf>
    <xf numFmtId="49" fontId="5" fillId="10" borderId="4" xfId="0" applyNumberFormat="1" applyFont="1" applyFill="1" applyBorder="1" applyAlignment="1">
      <alignment horizontal="center" vertical="center" wrapText="1"/>
    </xf>
    <xf numFmtId="4" fontId="5" fillId="0" borderId="3" xfId="0" applyNumberFormat="1" applyFont="1" applyBorder="1" applyAlignment="1">
      <alignment horizontal="righ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4" fontId="29" fillId="0" borderId="3" xfId="0" applyNumberFormat="1" applyFont="1" applyBorder="1" applyAlignment="1">
      <alignment horizontal="center" vertical="center" wrapText="1"/>
    </xf>
    <xf numFmtId="0" fontId="0" fillId="0" borderId="0" xfId="0" applyNumberFormat="1" applyFont="1" applyAlignment="1">
      <alignment vertical="center"/>
    </xf>
    <xf numFmtId="0" fontId="0" fillId="0" borderId="3" xfId="0" applyNumberFormat="1" applyFont="1" applyBorder="1" applyAlignment="1">
      <alignment horizontal="left" vertical="center" wrapText="1" indent="1"/>
    </xf>
    <xf numFmtId="49" fontId="52" fillId="0" borderId="5" xfId="0" applyNumberFormat="1" applyFont="1" applyBorder="1" applyAlignment="1">
      <alignment horizontal="left" vertical="center" wrapText="1"/>
    </xf>
    <xf numFmtId="0" fontId="49" fillId="0" borderId="3" xfId="0" applyNumberFormat="1" applyFont="1" applyBorder="1" applyAlignment="1">
      <alignment horizontal="left" vertical="center" wrapText="1" indent="2"/>
    </xf>
    <xf numFmtId="49" fontId="49" fillId="0" borderId="3" xfId="0" applyNumberFormat="1" applyFont="1" applyBorder="1" applyAlignment="1">
      <alignment horizontal="center" vertical="center" wrapText="1"/>
    </xf>
    <xf numFmtId="0" fontId="53" fillId="0" borderId="0" xfId="0" applyNumberFormat="1" applyFont="1" applyAlignment="1">
      <alignment vertical="center" wrapText="1"/>
    </xf>
    <xf numFmtId="0" fontId="5" fillId="0" borderId="0" xfId="0" applyNumberFormat="1" applyFont="1">
      <alignment vertical="top"/>
    </xf>
    <xf numFmtId="0" fontId="5" fillId="0" borderId="0" xfId="0" applyNumberFormat="1" applyFont="1" applyAlignment="1">
      <alignment horizontal="right" vertical="top" wrapText="1"/>
    </xf>
    <xf numFmtId="0" fontId="5" fillId="0" borderId="8" xfId="0" applyNumberFormat="1" applyFont="1" applyBorder="1" applyAlignment="1">
      <alignment vertical="center" wrapText="1"/>
    </xf>
    <xf numFmtId="49" fontId="25" fillId="10" borderId="6" xfId="0" applyNumberFormat="1" applyFont="1" applyFill="1" applyBorder="1" applyAlignment="1">
      <alignment horizontal="center" vertical="top"/>
    </xf>
    <xf numFmtId="0" fontId="5" fillId="0" borderId="14" xfId="0" applyNumberFormat="1" applyFont="1" applyBorder="1" applyAlignment="1">
      <alignment vertical="top" wrapText="1"/>
    </xf>
    <xf numFmtId="0" fontId="0" fillId="0" borderId="0" xfId="0" applyNumberFormat="1" applyFont="1" applyAlignment="1">
      <alignment horizontal="left" vertical="top" wrapText="1"/>
    </xf>
    <xf numFmtId="0" fontId="5" fillId="0" borderId="8" xfId="0" applyNumberFormat="1" applyFont="1" applyBorder="1" applyAlignment="1">
      <alignment vertical="top" wrapText="1"/>
    </xf>
    <xf numFmtId="0" fontId="5" fillId="0" borderId="0" xfId="0" applyNumberFormat="1" applyFont="1" applyAlignment="1">
      <alignment vertical="center" wrapText="1"/>
    </xf>
    <xf numFmtId="49" fontId="5" fillId="0" borderId="0" xfId="0" applyNumberFormat="1" applyFont="1">
      <alignment vertical="top"/>
    </xf>
    <xf numFmtId="0" fontId="20" fillId="0" borderId="0" xfId="0" applyNumberFormat="1" applyFont="1" applyAlignment="1">
      <alignment vertical="center" wrapText="1"/>
    </xf>
    <xf numFmtId="0" fontId="5" fillId="0" borderId="3" xfId="0" applyNumberFormat="1" applyFont="1" applyBorder="1" applyAlignment="1">
      <alignment vertical="center" wrapText="1"/>
    </xf>
    <xf numFmtId="49" fontId="5" fillId="0" borderId="0" xfId="0" applyNumberFormat="1" applyFont="1" applyAlignment="1">
      <alignment horizontal="center" vertical="center" wrapText="1"/>
    </xf>
    <xf numFmtId="0"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29" fillId="0" borderId="0" xfId="0" applyNumberFormat="1" applyFont="1" applyAlignment="1">
      <alignment vertical="center"/>
    </xf>
    <xf numFmtId="0" fontId="54" fillId="0" borderId="0" xfId="0" applyNumberFormat="1" applyFont="1" applyAlignment="1">
      <alignment vertical="center" wrapText="1"/>
    </xf>
    <xf numFmtId="0" fontId="23" fillId="8" borderId="0" xfId="0" applyNumberFormat="1" applyFont="1" applyFill="1" applyAlignment="1">
      <alignment horizontal="center" vertical="center" wrapText="1"/>
    </xf>
    <xf numFmtId="0" fontId="5" fillId="0" borderId="15" xfId="0" applyNumberFormat="1" applyFont="1" applyBorder="1" applyAlignment="1">
      <alignment vertical="center" wrapText="1"/>
    </xf>
    <xf numFmtId="0" fontId="18" fillId="0" borderId="0" xfId="0" applyNumberFormat="1" applyFont="1" applyAlignment="1">
      <alignment vertical="center" wrapText="1"/>
    </xf>
    <xf numFmtId="49" fontId="5" fillId="0" borderId="15" xfId="0" applyNumberFormat="1" applyFont="1" applyBorder="1">
      <alignment vertical="top"/>
    </xf>
    <xf numFmtId="0" fontId="29" fillId="0" borderId="15" xfId="0" applyNumberFormat="1" applyFont="1" applyBorder="1" applyAlignment="1">
      <alignment horizontal="center" vertical="center" wrapText="1"/>
    </xf>
    <xf numFmtId="0" fontId="29" fillId="0" borderId="15" xfId="0" applyNumberFormat="1" applyFont="1" applyBorder="1" applyAlignment="1">
      <alignment vertical="center" wrapText="1"/>
    </xf>
    <xf numFmtId="49" fontId="13" fillId="0" borderId="0" xfId="0" applyNumberFormat="1" applyFont="1">
      <alignment vertical="top"/>
    </xf>
    <xf numFmtId="49" fontId="0" fillId="0" borderId="15" xfId="0" applyNumberFormat="1" applyFont="1" applyBorder="1">
      <alignment vertical="top"/>
    </xf>
    <xf numFmtId="49" fontId="5" fillId="0" borderId="0" xfId="0" applyNumberFormat="1" applyFont="1">
      <alignment vertical="top"/>
    </xf>
    <xf numFmtId="49" fontId="5" fillId="0" borderId="0" xfId="0" applyNumberFormat="1" applyFont="1" applyAlignment="1">
      <alignment vertical="center" wrapText="1"/>
    </xf>
    <xf numFmtId="0" fontId="13" fillId="0" borderId="0" xfId="0" applyNumberFormat="1" applyFont="1" applyAlignment="1">
      <alignment vertical="center" wrapText="1"/>
    </xf>
    <xf numFmtId="0" fontId="5" fillId="8" borderId="0" xfId="0" applyNumberFormat="1" applyFont="1" applyFill="1" applyAlignment="1">
      <alignment vertical="center" wrapText="1"/>
    </xf>
    <xf numFmtId="49" fontId="5" fillId="0" borderId="0" xfId="0" applyNumberFormat="1" applyFont="1" applyAlignment="1">
      <alignment vertical="center" wrapText="1"/>
    </xf>
    <xf numFmtId="49" fontId="21" fillId="10" borderId="6" xfId="0" applyNumberFormat="1" applyFont="1" applyFill="1" applyBorder="1" applyAlignment="1">
      <alignment horizontal="left" vertical="center" indent="4"/>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29" fillId="0" borderId="0" xfId="0" applyNumberFormat="1" applyFont="1" applyAlignment="1">
      <alignment vertical="center"/>
    </xf>
    <xf numFmtId="0" fontId="5" fillId="0" borderId="0" xfId="0" applyNumberFormat="1" applyFont="1" applyAlignment="1">
      <alignment vertical="top" wrapText="1"/>
    </xf>
    <xf numFmtId="49" fontId="5" fillId="0" borderId="3" xfId="0" applyNumberFormat="1" applyFont="1" applyBorder="1" applyAlignment="1">
      <alignment horizontal="right" vertical="top"/>
    </xf>
    <xf numFmtId="49" fontId="5" fillId="0" borderId="8" xfId="0" applyNumberFormat="1" applyFont="1" applyBorder="1" applyAlignment="1">
      <alignment horizontal="right" vertical="top"/>
    </xf>
    <xf numFmtId="49" fontId="21" fillId="10" borderId="6" xfId="0" applyNumberFormat="1" applyFont="1" applyFill="1" applyBorder="1" applyAlignment="1">
      <alignment horizontal="left" vertical="center" indent="3"/>
    </xf>
    <xf numFmtId="49" fontId="0" fillId="0" borderId="0" xfId="0" applyNumberFormat="1" applyFont="1">
      <alignment vertical="top"/>
    </xf>
    <xf numFmtId="0" fontId="5" fillId="0" borderId="0" xfId="0" applyNumberFormat="1" applyFont="1" applyAlignment="1">
      <alignment vertical="center" wrapText="1"/>
    </xf>
    <xf numFmtId="49" fontId="20" fillId="0" borderId="0" xfId="0" applyNumberFormat="1" applyFont="1">
      <alignment vertical="top"/>
    </xf>
    <xf numFmtId="0" fontId="20" fillId="8" borderId="0" xfId="0" applyNumberFormat="1" applyFont="1" applyFill="1" applyAlignment="1">
      <alignment vertical="center" wrapText="1"/>
    </xf>
    <xf numFmtId="49" fontId="5" fillId="12" borderId="3" xfId="0" applyNumberFormat="1" applyFont="1" applyFill="1" applyBorder="1" applyAlignment="1" applyProtection="1">
      <alignment horizontal="left" vertical="center" wrapText="1"/>
      <protection locked="0"/>
    </xf>
    <xf numFmtId="49" fontId="5" fillId="9" borderId="3" xfId="0" applyNumberFormat="1" applyFont="1" applyFill="1" applyBorder="1" applyAlignment="1" applyProtection="1">
      <alignment horizontal="left" vertical="center" wrapText="1"/>
      <protection locked="0"/>
    </xf>
    <xf numFmtId="49" fontId="29" fillId="0" borderId="0" xfId="0" applyNumberFormat="1" applyFont="1">
      <alignment vertical="top"/>
    </xf>
    <xf numFmtId="49" fontId="29" fillId="0" borderId="0" xfId="0" applyNumberFormat="1" applyFont="1">
      <alignment vertical="top"/>
    </xf>
    <xf numFmtId="49" fontId="5" fillId="12" borderId="3" xfId="0" applyNumberFormat="1" applyFont="1" applyFill="1" applyBorder="1" applyAlignment="1" applyProtection="1">
      <alignment horizontal="left" vertical="center" wrapText="1"/>
      <protection locked="0"/>
    </xf>
    <xf numFmtId="49" fontId="35" fillId="12" borderId="3" xfId="0" applyNumberFormat="1" applyFont="1" applyFill="1" applyBorder="1" applyAlignment="1" applyProtection="1">
      <alignment horizontal="left" vertical="center" wrapText="1"/>
      <protection locked="0"/>
    </xf>
    <xf numFmtId="49" fontId="0" fillId="0" borderId="16" xfId="0" applyNumberFormat="1" applyFont="1" applyBorder="1" applyAlignment="1">
      <alignment horizontal="center" vertical="center"/>
    </xf>
    <xf numFmtId="166" fontId="5" fillId="0" borderId="3" xfId="0" applyNumberFormat="1" applyFont="1" applyBorder="1" applyAlignment="1">
      <alignment horizontal="right" vertical="center" wrapText="1"/>
    </xf>
    <xf numFmtId="49" fontId="35" fillId="12" borderId="5"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center" vertical="center" wrapText="1"/>
    </xf>
    <xf numFmtId="0" fontId="18" fillId="8" borderId="0" xfId="0" applyNumberFormat="1" applyFont="1" applyFill="1" applyAlignment="1">
      <alignment horizontal="center" vertical="center" wrapText="1"/>
    </xf>
    <xf numFmtId="0" fontId="0" fillId="0" borderId="3" xfId="0" applyNumberFormat="1" applyFont="1" applyBorder="1" applyAlignment="1">
      <alignment horizontal="left" vertical="center" wrapText="1"/>
    </xf>
    <xf numFmtId="0" fontId="5" fillId="8" borderId="0" xfId="0" applyNumberFormat="1" applyFont="1" applyFill="1" applyAlignment="1">
      <alignment horizontal="center" vertical="center" wrapText="1"/>
    </xf>
    <xf numFmtId="0" fontId="31" fillId="0" borderId="0" xfId="0" applyNumberFormat="1" applyFont="1" applyAlignment="1">
      <alignment vertical="top" wrapText="1"/>
    </xf>
    <xf numFmtId="0" fontId="5" fillId="8" borderId="17" xfId="0" applyNumberFormat="1" applyFont="1" applyFill="1" applyBorder="1" applyAlignment="1">
      <alignment horizontal="right" vertical="center" wrapText="1" indent="1"/>
    </xf>
    <xf numFmtId="0" fontId="0" fillId="8" borderId="17" xfId="0" applyNumberFormat="1" applyFont="1" applyFill="1" applyBorder="1" applyAlignment="1">
      <alignment horizontal="right" vertical="center" wrapText="1" indent="1"/>
    </xf>
    <xf numFmtId="0" fontId="5" fillId="0" borderId="0" xfId="0" applyNumberFormat="1" applyFont="1" applyAlignment="1">
      <alignment horizontal="left" vertical="center" wrapText="1" indent="4"/>
    </xf>
    <xf numFmtId="0" fontId="5" fillId="8" borderId="0" xfId="0" applyNumberFormat="1" applyFont="1" applyFill="1" applyAlignment="1">
      <alignment horizontal="center" vertical="center" wrapText="1"/>
    </xf>
    <xf numFmtId="49" fontId="21" fillId="10" borderId="6" xfId="0" applyNumberFormat="1" applyFont="1" applyFill="1" applyBorder="1" applyAlignment="1">
      <alignment horizontal="left" vertical="center"/>
    </xf>
    <xf numFmtId="0" fontId="5" fillId="0" borderId="10" xfId="0" applyNumberFormat="1" applyFont="1" applyBorder="1" applyAlignment="1">
      <alignment vertical="center" wrapText="1"/>
    </xf>
    <xf numFmtId="0" fontId="5" fillId="0" borderId="0" xfId="0" applyNumberFormat="1" applyFont="1" applyAlignment="1">
      <alignment horizontal="left" vertical="center" wrapText="1" indent="1"/>
    </xf>
    <xf numFmtId="0" fontId="53" fillId="0" borderId="0" xfId="0" applyNumberFormat="1" applyFont="1" applyAlignment="1">
      <alignment vertical="center" wrapText="1"/>
    </xf>
    <xf numFmtId="49" fontId="0" fillId="8" borderId="5"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indent="2"/>
    </xf>
    <xf numFmtId="49" fontId="35" fillId="9" borderId="3" xfId="0" applyNumberFormat="1" applyFont="1" applyFill="1" applyBorder="1" applyAlignment="1" applyProtection="1">
      <alignment horizontal="left" vertical="center" wrapText="1"/>
      <protection locked="0"/>
    </xf>
    <xf numFmtId="49" fontId="5" fillId="0" borderId="10" xfId="0" applyNumberFormat="1" applyFont="1" applyBorder="1">
      <alignment vertical="top"/>
    </xf>
    <xf numFmtId="49" fontId="55" fillId="10" borderId="4" xfId="0" applyNumberFormat="1" applyFont="1" applyFill="1" applyBorder="1" applyAlignment="1">
      <alignment horizontal="left" vertical="center" indent="1"/>
    </xf>
    <xf numFmtId="49" fontId="55" fillId="10" borderId="6" xfId="0" applyNumberFormat="1" applyFont="1" applyFill="1" applyBorder="1" applyAlignment="1">
      <alignment horizontal="left" vertical="center" indent="1"/>
    </xf>
    <xf numFmtId="49" fontId="31" fillId="10" borderId="5" xfId="0" applyNumberFormat="1" applyFont="1" applyFill="1" applyBorder="1" applyAlignment="1">
      <alignment horizontal="center" vertical="center"/>
    </xf>
    <xf numFmtId="49" fontId="55" fillId="10" borderId="6" xfId="0" applyNumberFormat="1" applyFont="1" applyFill="1" applyBorder="1" applyAlignment="1">
      <alignment vertical="center"/>
    </xf>
    <xf numFmtId="0" fontId="0" fillId="14" borderId="3" xfId="0" applyNumberFormat="1" applyFont="1" applyFill="1" applyBorder="1" applyAlignment="1">
      <alignment horizontal="right" vertical="center"/>
    </xf>
    <xf numFmtId="0" fontId="14" fillId="0" borderId="0" xfId="0" applyNumberFormat="1" applyFont="1" applyAlignment="1">
      <alignment vertical="center" wrapText="1"/>
    </xf>
    <xf numFmtId="0" fontId="5" fillId="0" borderId="0" xfId="0" applyNumberFormat="1" applyFont="1" applyAlignment="1">
      <alignment vertical="center" wrapText="1"/>
    </xf>
    <xf numFmtId="0" fontId="15" fillId="8" borderId="0" xfId="0" applyNumberFormat="1" applyFont="1" applyFill="1" applyAlignment="1">
      <alignment vertical="center" wrapText="1"/>
    </xf>
    <xf numFmtId="0" fontId="13" fillId="0" borderId="0" xfId="0" applyNumberFormat="1" applyFont="1" applyAlignment="1">
      <alignment horizontal="center" vertical="center" wrapText="1"/>
    </xf>
    <xf numFmtId="0" fontId="0" fillId="0" borderId="0" xfId="0" applyNumberFormat="1" applyFont="1" applyAlignment="1">
      <alignment vertical="center" wrapText="1"/>
    </xf>
    <xf numFmtId="0" fontId="13" fillId="0" borderId="0" xfId="0" applyNumberFormat="1" applyFont="1" applyAlignment="1">
      <alignment horizontal="left" vertical="center" wrapText="1"/>
    </xf>
    <xf numFmtId="0" fontId="0" fillId="0" borderId="3" xfId="0" applyNumberFormat="1" applyFont="1" applyBorder="1" applyAlignment="1">
      <alignment horizontal="center" vertical="center" wrapText="1"/>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0" fontId="28" fillId="0" borderId="0" xfId="0" applyNumberFormat="1" applyFont="1" applyAlignment="1">
      <alignment vertical="center" wrapText="1"/>
    </xf>
    <xf numFmtId="0" fontId="0" fillId="0" borderId="0" xfId="0" applyNumberFormat="1" applyFont="1" applyAlignment="1">
      <alignment vertical="center"/>
    </xf>
    <xf numFmtId="49" fontId="29" fillId="0" borderId="0" xfId="0" applyNumberFormat="1" applyFont="1">
      <alignment vertical="top"/>
    </xf>
    <xf numFmtId="0" fontId="56" fillId="0" borderId="0" xfId="0" applyNumberFormat="1" applyFont="1" applyAlignment="1">
      <alignment vertical="center" wrapText="1"/>
    </xf>
    <xf numFmtId="49" fontId="31" fillId="10" borderId="5" xfId="0" applyNumberFormat="1" applyFont="1" applyFill="1" applyBorder="1" applyAlignment="1">
      <alignment horizontal="right" vertical="center" wrapText="1"/>
    </xf>
    <xf numFmtId="49" fontId="28" fillId="0" borderId="0" xfId="0" applyNumberFormat="1" applyFont="1">
      <alignment vertical="top"/>
    </xf>
    <xf numFmtId="49" fontId="0" fillId="0" borderId="0" xfId="0" applyNumberFormat="1" applyFont="1">
      <alignment vertical="top"/>
    </xf>
    <xf numFmtId="49" fontId="0" fillId="10" borderId="4" xfId="0" applyNumberFormat="1" applyFont="1" applyFill="1" applyBorder="1" applyAlignment="1">
      <alignment horizontal="right" vertical="center" wrapText="1"/>
    </xf>
    <xf numFmtId="0" fontId="0" fillId="0" borderId="3" xfId="0" applyNumberFormat="1" applyFont="1" applyBorder="1" applyAlignment="1">
      <alignment horizontal="center" vertical="center" wrapText="1"/>
    </xf>
    <xf numFmtId="0" fontId="40" fillId="0" borderId="0" xfId="0" applyNumberFormat="1" applyFont="1" applyAlignment="1">
      <alignment horizontal="left" vertical="center" wrapText="1"/>
    </xf>
    <xf numFmtId="0" fontId="41" fillId="0" borderId="0" xfId="0" applyNumberFormat="1" applyFont="1" applyAlignment="1">
      <alignment vertical="center" wrapText="1"/>
    </xf>
    <xf numFmtId="0" fontId="42" fillId="8" borderId="0" xfId="0" applyNumberFormat="1" applyFont="1" applyFill="1" applyAlignment="1">
      <alignment vertical="center" wrapText="1"/>
    </xf>
    <xf numFmtId="0" fontId="43" fillId="8" borderId="0" xfId="0" applyNumberFormat="1" applyFont="1" applyFill="1" applyAlignment="1">
      <alignment horizontal="right" vertical="center" wrapText="1" indent="1"/>
    </xf>
    <xf numFmtId="0" fontId="42" fillId="0" borderId="0" xfId="0" applyNumberFormat="1" applyFont="1" applyAlignment="1">
      <alignment vertical="center" wrapText="1"/>
    </xf>
    <xf numFmtId="0" fontId="0" fillId="0" borderId="5" xfId="0" applyNumberFormat="1" applyFont="1" applyBorder="1" applyAlignment="1">
      <alignment horizontal="center" vertical="center" wrapText="1"/>
    </xf>
    <xf numFmtId="0" fontId="0" fillId="9" borderId="3" xfId="0" applyNumberFormat="1" applyFont="1" applyFill="1" applyBorder="1" applyAlignment="1" applyProtection="1">
      <alignment horizontal="right" vertical="center" wrapText="1"/>
      <protection locked="0"/>
    </xf>
    <xf numFmtId="3" fontId="0" fillId="12" borderId="3" xfId="0" applyNumberFormat="1" applyFont="1" applyFill="1" applyBorder="1" applyAlignment="1" applyProtection="1">
      <alignment horizontal="right" vertical="center" wrapText="1"/>
      <protection locked="0"/>
    </xf>
    <xf numFmtId="49" fontId="0" fillId="0" borderId="3" xfId="0" applyNumberFormat="1" applyFont="1" applyBorder="1" applyAlignment="1">
      <alignment horizontal="center" vertical="center" wrapText="1"/>
    </xf>
    <xf numFmtId="49" fontId="0" fillId="0" borderId="3" xfId="0" applyNumberFormat="1" applyFont="1" applyBorder="1" applyAlignment="1">
      <alignment vertical="top" wrapText="1"/>
    </xf>
    <xf numFmtId="0" fontId="0" fillId="8" borderId="5"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indent="2"/>
    </xf>
    <xf numFmtId="0" fontId="0" fillId="8" borderId="3" xfId="0" applyNumberFormat="1" applyFont="1" applyFill="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0" fillId="8" borderId="3" xfId="0" applyNumberFormat="1" applyFont="1" applyFill="1" applyBorder="1" applyAlignment="1">
      <alignment horizontal="left" vertical="center" wrapText="1" indent="1"/>
    </xf>
    <xf numFmtId="0" fontId="0" fillId="0" borderId="3" xfId="0" applyNumberFormat="1" applyFont="1" applyBorder="1" applyAlignment="1">
      <alignment horizontal="center" vertical="center" wrapText="1"/>
    </xf>
    <xf numFmtId="0" fontId="0" fillId="8" borderId="3" xfId="0" applyNumberFormat="1" applyFont="1" applyFill="1" applyBorder="1" applyAlignment="1">
      <alignment vertical="center" wrapText="1"/>
    </xf>
    <xf numFmtId="49" fontId="0" fillId="8" borderId="3" xfId="0" applyNumberFormat="1" applyFont="1" applyFill="1" applyBorder="1" applyAlignment="1">
      <alignment horizontal="center" vertical="center"/>
    </xf>
    <xf numFmtId="0" fontId="0"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49" fontId="17" fillId="8" borderId="0" xfId="0" applyNumberFormat="1" applyFont="1" applyFill="1" applyAlignment="1">
      <alignment horizontal="center" vertical="center" wrapText="1"/>
    </xf>
    <xf numFmtId="0" fontId="13"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0" fontId="27" fillId="0" borderId="0" xfId="0" applyNumberFormat="1" applyFont="1" applyAlignment="1">
      <alignment horizontal="center" vertical="center" wrapText="1"/>
    </xf>
    <xf numFmtId="0" fontId="26" fillId="0" borderId="0" xfId="0" applyNumberFormat="1" applyFont="1" applyAlignment="1">
      <alignment vertical="center" wrapText="1"/>
    </xf>
    <xf numFmtId="0" fontId="0" fillId="8" borderId="0" xfId="0" applyNumberFormat="1" applyFont="1" applyFill="1" applyAlignment="1"/>
    <xf numFmtId="0" fontId="0" fillId="8" borderId="0" xfId="0" applyNumberFormat="1" applyFont="1" applyFill="1" applyAlignment="1">
      <alignment horizontal="center"/>
    </xf>
    <xf numFmtId="0" fontId="5" fillId="8" borderId="0" xfId="0" applyNumberFormat="1" applyFont="1" applyFill="1" applyAlignment="1">
      <alignment vertical="center" wrapText="1"/>
    </xf>
    <xf numFmtId="0" fontId="57" fillId="8" borderId="0" xfId="0" applyNumberFormat="1" applyFont="1" applyFill="1" applyAlignment="1">
      <alignment horizontal="center"/>
    </xf>
    <xf numFmtId="0" fontId="57" fillId="8" borderId="0" xfId="0" applyNumberFormat="1" applyFont="1" applyFill="1" applyAlignment="1"/>
    <xf numFmtId="0" fontId="58" fillId="8" borderId="0" xfId="0" applyNumberFormat="1" applyFont="1" applyFill="1" applyAlignment="1"/>
    <xf numFmtId="0" fontId="59" fillId="8" borderId="0" xfId="0" applyNumberFormat="1" applyFont="1" applyFill="1" applyAlignment="1">
      <alignment horizontal="right" vertical="center"/>
    </xf>
    <xf numFmtId="0" fontId="59" fillId="8" borderId="0" xfId="0" applyNumberFormat="1" applyFont="1" applyFill="1" applyAlignment="1">
      <alignment horizontal="right" vertical="top"/>
    </xf>
    <xf numFmtId="0" fontId="5"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xf>
    <xf numFmtId="0" fontId="5" fillId="0" borderId="3" xfId="0" applyNumberFormat="1" applyFont="1" applyBorder="1" applyAlignment="1">
      <alignment horizontal="center" vertical="center" wrapText="1"/>
    </xf>
    <xf numFmtId="0" fontId="26" fillId="0" borderId="0" xfId="0" applyNumberFormat="1" applyFont="1" applyAlignment="1">
      <alignment vertical="top" wrapText="1"/>
    </xf>
    <xf numFmtId="0" fontId="5" fillId="10" borderId="5" xfId="0" applyNumberFormat="1" applyFont="1" applyFill="1" applyBorder="1" applyAlignment="1">
      <alignment horizontal="center"/>
    </xf>
    <xf numFmtId="0" fontId="55" fillId="10" borderId="6" xfId="0" applyNumberFormat="1" applyFont="1" applyFill="1" applyBorder="1" applyAlignment="1">
      <alignment horizontal="left" vertical="center"/>
    </xf>
    <xf numFmtId="0" fontId="55" fillId="10" borderId="4" xfId="0" applyNumberFormat="1" applyFont="1" applyFill="1" applyBorder="1" applyAlignment="1">
      <alignment horizontal="left" vertical="center"/>
    </xf>
    <xf numFmtId="0" fontId="60" fillId="8" borderId="0" xfId="0" applyNumberFormat="1" applyFont="1" applyFill="1" applyAlignment="1">
      <alignment vertical="center"/>
    </xf>
    <xf numFmtId="0" fontId="60" fillId="8" borderId="0" xfId="0" applyNumberFormat="1" applyFont="1" applyFill="1" applyAlignment="1">
      <alignment vertical="center" wrapText="1"/>
    </xf>
    <xf numFmtId="49"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3" xfId="0" applyNumberFormat="1" applyFont="1" applyFill="1" applyBorder="1" applyAlignment="1">
      <alignment vertical="center" wrapText="1"/>
    </xf>
    <xf numFmtId="0" fontId="47" fillId="8" borderId="0" xfId="0" applyNumberFormat="1" applyFont="1" applyFill="1" applyAlignment="1"/>
    <xf numFmtId="0" fontId="33" fillId="8" borderId="0" xfId="0" applyNumberFormat="1" applyFont="1" applyFill="1" applyAlignment="1"/>
    <xf numFmtId="0" fontId="43" fillId="8" borderId="0" xfId="0" applyNumberFormat="1" applyFont="1" applyFill="1" applyAlignment="1"/>
    <xf numFmtId="0" fontId="43" fillId="8" borderId="0" xfId="0" applyNumberFormat="1" applyFont="1" applyFill="1" applyAlignment="1">
      <alignment horizontal="center"/>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42" fillId="8" borderId="0" xfId="0" applyNumberFormat="1" applyFont="1" applyFill="1" applyAlignment="1">
      <alignment vertical="center" wrapText="1"/>
    </xf>
    <xf numFmtId="0" fontId="42" fillId="8" borderId="0" xfId="0" applyNumberFormat="1" applyFont="1" applyFill="1" applyAlignment="1">
      <alignment horizontal="right" vertical="center"/>
    </xf>
    <xf numFmtId="0" fontId="42" fillId="8" borderId="0" xfId="0" applyNumberFormat="1" applyFont="1" applyFill="1" applyAlignment="1">
      <alignment horizontal="right" vertical="center" wrapText="1"/>
    </xf>
    <xf numFmtId="4" fontId="42" fillId="0" borderId="0" xfId="0" applyNumberFormat="1" applyFont="1" applyAlignment="1">
      <alignment horizontal="right" vertical="center" wrapText="1"/>
    </xf>
    <xf numFmtId="0" fontId="42" fillId="0" borderId="0" xfId="0" applyNumberFormat="1" applyFont="1" applyAlignment="1">
      <alignment horizontal="left" vertical="center" wrapText="1" indent="1"/>
    </xf>
    <xf numFmtId="0" fontId="61" fillId="8" borderId="0" xfId="0" applyNumberFormat="1" applyFont="1" applyFill="1" applyAlignment="1">
      <alignment horizontal="center" vertical="center" wrapText="1"/>
    </xf>
    <xf numFmtId="0" fontId="17" fillId="8" borderId="0" xfId="0" applyNumberFormat="1" applyFont="1" applyFill="1" applyAlignment="1">
      <alignment horizontal="center" vertical="center" wrapText="1"/>
    </xf>
    <xf numFmtId="0" fontId="46" fillId="0" borderId="0" xfId="0" applyNumberFormat="1" applyFont="1" applyAlignment="1">
      <alignment vertical="center" wrapText="1"/>
    </xf>
    <xf numFmtId="0" fontId="29" fillId="0" borderId="0" xfId="0" applyNumberFormat="1" applyFont="1" applyAlignment="1">
      <alignment vertical="center" wrapText="1"/>
    </xf>
    <xf numFmtId="49" fontId="5" fillId="13" borderId="3" xfId="0" applyNumberFormat="1" applyFont="1" applyFill="1" applyBorder="1" applyAlignment="1">
      <alignment horizontal="left" vertical="center" wrapText="1"/>
    </xf>
    <xf numFmtId="0" fontId="46" fillId="0" borderId="0" xfId="0" applyNumberFormat="1" applyFont="1" applyAlignment="1">
      <alignment horizontal="center" vertical="center" wrapText="1"/>
    </xf>
    <xf numFmtId="0" fontId="5" fillId="8" borderId="15" xfId="0" applyNumberFormat="1" applyFont="1" applyFill="1" applyBorder="1" applyAlignment="1">
      <alignment vertical="center" wrapText="1"/>
    </xf>
    <xf numFmtId="49" fontId="17" fillId="8" borderId="6"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61" fillId="0" borderId="0" xfId="0" applyNumberFormat="1" applyFont="1" applyAlignment="1">
      <alignment horizontal="center" vertical="center" wrapText="1"/>
    </xf>
    <xf numFmtId="0" fontId="54" fillId="0" borderId="0" xfId="0" applyNumberFormat="1" applyFont="1" applyAlignment="1">
      <alignment vertical="center" wrapText="1"/>
    </xf>
    <xf numFmtId="49" fontId="54" fillId="0" borderId="3" xfId="0" applyNumberFormat="1" applyFont="1" applyBorder="1" applyAlignment="1">
      <alignment horizontal="left" vertical="center" wrapText="1"/>
    </xf>
    <xf numFmtId="0" fontId="62" fillId="8" borderId="0" xfId="0" applyNumberFormat="1" applyFont="1" applyFill="1" applyAlignment="1">
      <alignment horizontal="center" vertical="center" wrapText="1"/>
    </xf>
    <xf numFmtId="49" fontId="54" fillId="0" borderId="8" xfId="0" applyNumberFormat="1" applyFont="1" applyBorder="1" applyAlignment="1">
      <alignment horizontal="left" vertical="center" wrapText="1"/>
    </xf>
    <xf numFmtId="0" fontId="29" fillId="0" borderId="0" xfId="0" applyNumberFormat="1" applyFont="1" applyAlignment="1">
      <alignment vertical="center"/>
    </xf>
    <xf numFmtId="0" fontId="29" fillId="8" borderId="0" xfId="0" applyNumberFormat="1" applyFont="1" applyFill="1" applyAlignment="1"/>
    <xf numFmtId="0" fontId="29" fillId="8" borderId="0" xfId="0" applyNumberFormat="1" applyFont="1" applyFill="1" applyAlignment="1">
      <alignment vertical="center" wrapText="1"/>
    </xf>
    <xf numFmtId="0" fontId="29" fillId="0" borderId="0" xfId="0" applyNumberFormat="1" applyFont="1" applyAlignment="1">
      <alignment vertical="center" wrapText="1"/>
    </xf>
    <xf numFmtId="49" fontId="5" fillId="0" borderId="0" xfId="0" applyNumberFormat="1" applyFont="1">
      <alignment vertical="top"/>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0" fontId="23" fillId="0" borderId="0" xfId="0" applyNumberFormat="1" applyFont="1" applyAlignment="1">
      <alignment vertical="center" wrapText="1"/>
    </xf>
    <xf numFmtId="49" fontId="5" fillId="0" borderId="3" xfId="0" applyNumberFormat="1" applyFont="1" applyBorder="1" applyAlignment="1">
      <alignment horizontal="left" vertical="center" wrapText="1"/>
    </xf>
    <xf numFmtId="0" fontId="5" fillId="0" borderId="0" xfId="0" applyNumberFormat="1" applyFont="1" applyAlignment="1">
      <alignment vertical="center" wrapText="1"/>
    </xf>
    <xf numFmtId="49" fontId="29"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14"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14" fontId="63" fillId="10" borderId="6" xfId="0" applyNumberFormat="1" applyFont="1" applyFill="1" applyBorder="1" applyAlignment="1">
      <alignment horizontal="center" vertical="center" wrapText="1"/>
    </xf>
    <xf numFmtId="0" fontId="29" fillId="0" borderId="0" xfId="0" applyNumberFormat="1" applyFont="1" applyAlignment="1">
      <alignment horizontal="left" vertical="center" wrapText="1"/>
    </xf>
    <xf numFmtId="49" fontId="29" fillId="0" borderId="0" xfId="0" applyNumberFormat="1" applyFont="1" applyAlignment="1">
      <alignment horizontal="left" vertical="center" wrapText="1"/>
    </xf>
    <xf numFmtId="0" fontId="29" fillId="0" borderId="0" xfId="0" applyNumberFormat="1" applyFont="1" applyAlignment="1">
      <alignment vertical="center" wrapText="1"/>
    </xf>
    <xf numFmtId="49" fontId="35" fillId="0" borderId="3" xfId="0" applyNumberFormat="1" applyFont="1" applyBorder="1" applyAlignment="1">
      <alignment horizontal="left" vertical="center" wrapText="1"/>
    </xf>
    <xf numFmtId="14"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64" fillId="0" borderId="0" xfId="0" applyNumberFormat="1" applyFont="1" applyAlignment="1">
      <alignment horizontal="center" vertical="center" wrapText="1"/>
    </xf>
    <xf numFmtId="0" fontId="18"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0" fillId="8" borderId="5" xfId="0" applyNumberFormat="1" applyFont="1" applyFill="1" applyBorder="1" applyAlignment="1">
      <alignment horizontal="left" vertical="center" wrapText="1"/>
    </xf>
    <xf numFmtId="49" fontId="31" fillId="10" borderId="6" xfId="0" applyNumberFormat="1" applyFont="1" applyFill="1" applyBorder="1" applyAlignment="1">
      <alignment horizontal="center" vertical="center"/>
    </xf>
    <xf numFmtId="0" fontId="14" fillId="0" borderId="0" xfId="0" applyNumberFormat="1" applyFont="1" applyAlignment="1">
      <alignment vertical="center" wrapText="1"/>
    </xf>
    <xf numFmtId="0" fontId="13"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65" fillId="0" borderId="0" xfId="0" applyNumberFormat="1" applyFont="1" applyAlignment="1">
      <alignment vertical="center" wrapText="1"/>
    </xf>
    <xf numFmtId="49" fontId="28" fillId="0" borderId="0" xfId="0" applyNumberFormat="1" applyFont="1" applyAlignment="1">
      <alignment horizontal="center" vertical="center" wrapText="1"/>
    </xf>
    <xf numFmtId="0" fontId="28" fillId="0" borderId="0" xfId="0" applyNumberFormat="1" applyFont="1" applyAlignment="1">
      <alignment vertical="center" wrapText="1"/>
    </xf>
    <xf numFmtId="49" fontId="5" fillId="0" borderId="0" xfId="0" applyNumberFormat="1" applyFont="1" applyAlignment="1">
      <alignment horizontal="center" vertical="top" wrapText="1"/>
    </xf>
    <xf numFmtId="49" fontId="5" fillId="0" borderId="3" xfId="0" applyNumberFormat="1" applyFont="1" applyBorder="1" applyAlignment="1">
      <alignment horizontal="center" vertical="center" wrapText="1"/>
    </xf>
    <xf numFmtId="49" fontId="5" fillId="12" borderId="3" xfId="0" applyNumberFormat="1" applyFont="1" applyFill="1" applyBorder="1" applyAlignment="1" applyProtection="1">
      <alignment vertical="center" wrapText="1"/>
      <protection locked="0"/>
    </xf>
    <xf numFmtId="4" fontId="5" fillId="9" borderId="3"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vertical="top" wrapText="1"/>
    </xf>
    <xf numFmtId="0" fontId="66" fillId="0" borderId="0" xfId="0" applyNumberFormat="1" applyFont="1" applyAlignment="1">
      <alignment vertical="center" wrapText="1"/>
    </xf>
    <xf numFmtId="0" fontId="36" fillId="0" borderId="0" xfId="0" applyNumberFormat="1" applyFont="1" applyAlignment="1">
      <alignment vertical="center" wrapText="1"/>
    </xf>
    <xf numFmtId="167" fontId="5" fillId="9" borderId="3" xfId="0" applyNumberFormat="1" applyFont="1" applyFill="1" applyBorder="1" applyAlignment="1" applyProtection="1">
      <alignment horizontal="right" vertical="center" wrapText="1"/>
      <protection locked="0"/>
    </xf>
    <xf numFmtId="0" fontId="5" fillId="0" borderId="19" xfId="0" applyNumberFormat="1" applyFont="1" applyBorder="1" applyAlignment="1">
      <alignment horizontal="center" vertical="center" wrapText="1"/>
    </xf>
    <xf numFmtId="0" fontId="5" fillId="12" borderId="3" xfId="0" applyNumberFormat="1" applyFont="1" applyFill="1" applyBorder="1" applyAlignment="1" applyProtection="1">
      <alignment horizontal="left" vertical="center" wrapText="1" indent="2"/>
      <protection locked="0"/>
    </xf>
    <xf numFmtId="49" fontId="29" fillId="0" borderId="0" xfId="0" applyNumberFormat="1" applyFont="1" applyAlignment="1">
      <alignment horizontal="center" vertical="center" wrapText="1"/>
    </xf>
    <xf numFmtId="0" fontId="29" fillId="0" borderId="19" xfId="0" applyNumberFormat="1" applyFont="1" applyBorder="1" applyAlignment="1">
      <alignment horizontal="center" vertical="center" wrapText="1"/>
    </xf>
    <xf numFmtId="0" fontId="29" fillId="0" borderId="3" xfId="0" applyNumberFormat="1" applyFont="1" applyBorder="1" applyAlignment="1">
      <alignment horizontal="left" vertical="center" wrapText="1" indent="2"/>
    </xf>
    <xf numFmtId="0" fontId="29" fillId="0" borderId="3" xfId="0" applyNumberFormat="1" applyFont="1" applyBorder="1" applyAlignment="1">
      <alignment horizontal="center" vertical="center" wrapText="1"/>
    </xf>
    <xf numFmtId="0" fontId="29" fillId="0" borderId="3" xfId="0" applyNumberFormat="1" applyFont="1" applyBorder="1" applyAlignment="1">
      <alignment vertical="center" wrapText="1"/>
    </xf>
    <xf numFmtId="0" fontId="5" fillId="0" borderId="3" xfId="0" applyNumberFormat="1" applyFont="1" applyBorder="1" applyAlignment="1">
      <alignment horizontal="left" vertical="center" wrapText="1" indent="3"/>
    </xf>
    <xf numFmtId="49" fontId="5" fillId="12" borderId="3" xfId="0" applyNumberFormat="1" applyFont="1" applyFill="1" applyBorder="1" applyAlignment="1" applyProtection="1">
      <alignment horizontal="center" vertical="center" wrapText="1"/>
      <protection locked="0"/>
    </xf>
    <xf numFmtId="0" fontId="5"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vertical="center" wrapText="1"/>
    </xf>
    <xf numFmtId="4" fontId="5" fillId="12" borderId="3" xfId="0" applyNumberFormat="1" applyFont="1" applyFill="1" applyBorder="1" applyAlignment="1" applyProtection="1">
      <alignment horizontal="right" vertical="center" wrapText="1"/>
      <protection locked="0"/>
    </xf>
    <xf numFmtId="4" fontId="5" fillId="7" borderId="3" xfId="0" applyNumberFormat="1" applyFont="1" applyFill="1" applyBorder="1" applyAlignment="1">
      <alignment horizontal="right" vertical="center" wrapText="1"/>
    </xf>
    <xf numFmtId="0" fontId="5" fillId="0" borderId="3" xfId="0" applyNumberFormat="1" applyFont="1" applyBorder="1" applyAlignment="1">
      <alignment horizontal="left" vertical="center" wrapText="1" indent="1"/>
    </xf>
    <xf numFmtId="49" fontId="54" fillId="0" borderId="0" xfId="0" applyNumberFormat="1" applyFont="1" applyAlignment="1">
      <alignment horizontal="center" vertical="center" wrapText="1"/>
    </xf>
    <xf numFmtId="49"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2"/>
    </xf>
    <xf numFmtId="0" fontId="54" fillId="0" borderId="3" xfId="0" applyNumberFormat="1" applyFont="1" applyBorder="1" applyAlignment="1">
      <alignment horizontal="center" vertical="center" wrapText="1"/>
    </xf>
    <xf numFmtId="0" fontId="54" fillId="0" borderId="3" xfId="0" applyNumberFormat="1" applyFont="1" applyBorder="1" applyAlignment="1">
      <alignment vertical="center" wrapText="1"/>
    </xf>
    <xf numFmtId="0" fontId="67" fillId="0" borderId="0" xfId="0" applyNumberFormat="1" applyFont="1" applyAlignment="1">
      <alignment vertical="center" wrapText="1"/>
    </xf>
    <xf numFmtId="0" fontId="45" fillId="0" borderId="0" xfId="0" applyNumberFormat="1" applyFont="1" applyAlignment="1">
      <alignment vertical="center" wrapText="1"/>
    </xf>
    <xf numFmtId="0" fontId="54" fillId="0" borderId="19" xfId="0" applyNumberFormat="1" applyFont="1" applyBorder="1" applyAlignment="1">
      <alignment horizontal="center" vertical="center" wrapText="1"/>
    </xf>
    <xf numFmtId="0" fontId="54" fillId="0" borderId="3" xfId="0" applyNumberFormat="1" applyFont="1" applyBorder="1" applyAlignment="1">
      <alignment horizontal="left" vertical="center" wrapText="1" indent="3"/>
    </xf>
    <xf numFmtId="4" fontId="54" fillId="0" borderId="3" xfId="0" applyNumberFormat="1" applyFont="1" applyBorder="1" applyAlignment="1">
      <alignment horizontal="right" vertical="center" wrapText="1"/>
    </xf>
    <xf numFmtId="49" fontId="5" fillId="10" borderId="5" xfId="0" applyNumberFormat="1" applyFont="1" applyFill="1" applyBorder="1" applyAlignment="1">
      <alignment vertical="center" wrapText="1"/>
    </xf>
    <xf numFmtId="49" fontId="21" fillId="10" borderId="6" xfId="0" applyNumberFormat="1" applyFont="1" applyFill="1" applyBorder="1" applyAlignment="1">
      <alignment horizontal="left" vertical="center" indent="2"/>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4" fontId="5" fillId="0" borderId="0" xfId="0" applyNumberFormat="1" applyFont="1" applyAlignment="1">
      <alignment horizontal="center" vertical="center" wrapText="1"/>
    </xf>
    <xf numFmtId="49" fontId="31" fillId="0" borderId="0" xfId="0" applyNumberFormat="1" applyFont="1" applyAlignment="1">
      <alignment horizontal="center" vertical="center"/>
    </xf>
    <xf numFmtId="0" fontId="5" fillId="0" borderId="3" xfId="0" applyNumberFormat="1" applyFont="1" applyBorder="1" applyAlignment="1">
      <alignment horizontal="left" vertical="center" wrapText="1" indent="2"/>
    </xf>
    <xf numFmtId="167" fontId="5" fillId="12" borderId="3" xfId="0" applyNumberFormat="1" applyFont="1" applyFill="1" applyBorder="1" applyAlignment="1" applyProtection="1">
      <alignment horizontal="right" vertical="center" wrapText="1"/>
      <protection locked="0"/>
    </xf>
    <xf numFmtId="0" fontId="5" fillId="0" borderId="8" xfId="0" applyNumberFormat="1" applyFont="1" applyBorder="1" applyAlignment="1">
      <alignment horizontal="center" vertical="center" wrapText="1"/>
    </xf>
    <xf numFmtId="4" fontId="5" fillId="7" borderId="8" xfId="0" applyNumberFormat="1" applyFont="1" applyFill="1" applyBorder="1" applyAlignment="1">
      <alignment horizontal="right" vertical="center" wrapText="1"/>
    </xf>
    <xf numFmtId="49" fontId="21" fillId="10" borderId="6" xfId="0" applyNumberFormat="1" applyFont="1" applyFill="1" applyBorder="1" applyAlignment="1">
      <alignment horizontal="left" vertical="center" indent="1"/>
    </xf>
    <xf numFmtId="0" fontId="5" fillId="0" borderId="0" xfId="0" applyNumberFormat="1" applyFont="1" applyAlignment="1">
      <alignment horizontal="left" vertical="center" wrapText="1"/>
    </xf>
    <xf numFmtId="0" fontId="5" fillId="0" borderId="0" xfId="0" applyNumberFormat="1" applyFont="1" applyAlignment="1">
      <alignment vertical="center"/>
    </xf>
    <xf numFmtId="0" fontId="0" fillId="0" borderId="0" xfId="0" applyNumberFormat="1" applyFont="1" applyAlignment="1">
      <alignment vertical="center"/>
    </xf>
    <xf numFmtId="0" fontId="28" fillId="0" borderId="0" xfId="0" applyNumberFormat="1" applyFont="1" applyAlignment="1">
      <alignment vertical="center"/>
    </xf>
    <xf numFmtId="0" fontId="5" fillId="0" borderId="0" xfId="0" applyNumberFormat="1" applyFont="1" applyAlignment="1">
      <alignment vertical="center"/>
    </xf>
    <xf numFmtId="0" fontId="68" fillId="0" borderId="0" xfId="0" applyNumberFormat="1" applyFont="1" applyAlignment="1">
      <alignment vertical="center"/>
    </xf>
    <xf numFmtId="0" fontId="22" fillId="0" borderId="0" xfId="0" applyNumberFormat="1" applyFont="1" applyAlignment="1">
      <alignment vertical="center"/>
    </xf>
    <xf numFmtId="0" fontId="5" fillId="0" borderId="0" xfId="0" applyNumberFormat="1" applyFont="1" applyAlignment="1">
      <alignment vertical="center" wrapText="1"/>
    </xf>
    <xf numFmtId="0" fontId="22" fillId="0" borderId="0" xfId="0" applyNumberFormat="1" applyFont="1" applyAlignment="1">
      <alignment vertical="center"/>
    </xf>
    <xf numFmtId="0" fontId="68" fillId="0" borderId="0" xfId="0" applyNumberFormat="1" applyFont="1" applyAlignment="1">
      <alignment vertical="center"/>
    </xf>
    <xf numFmtId="0" fontId="34" fillId="0" borderId="0" xfId="0" applyNumberFormat="1" applyFont="1" applyAlignment="1">
      <alignment vertical="center"/>
    </xf>
    <xf numFmtId="0" fontId="5" fillId="0" borderId="0" xfId="0" applyNumberFormat="1" applyFont="1" applyAlignment="1">
      <alignment horizontal="center" vertical="center" wrapText="1"/>
    </xf>
    <xf numFmtId="49" fontId="17" fillId="0" borderId="0" xfId="0" applyNumberFormat="1" applyFont="1" applyAlignment="1">
      <alignment horizontal="center" vertical="center" wrapText="1"/>
    </xf>
    <xf numFmtId="49" fontId="17" fillId="0" borderId="3" xfId="0" applyNumberFormat="1" applyFont="1" applyBorder="1" applyAlignment="1">
      <alignment horizontal="center" vertical="center" wrapText="1"/>
    </xf>
    <xf numFmtId="0" fontId="28" fillId="0" borderId="0" xfId="0" applyNumberFormat="1" applyFont="1" applyAlignment="1">
      <alignment vertical="center"/>
    </xf>
    <xf numFmtId="0" fontId="0" fillId="0" borderId="0" xfId="0" applyNumberFormat="1" applyFont="1" applyAlignment="1">
      <alignment vertical="center"/>
    </xf>
    <xf numFmtId="0" fontId="29" fillId="0" borderId="0" xfId="0" applyNumberFormat="1" applyFont="1" applyAlignment="1">
      <alignment horizontal="center" vertical="center"/>
    </xf>
    <xf numFmtId="0" fontId="5" fillId="0" borderId="0" xfId="0" applyNumberFormat="1" applyFont="1" applyAlignment="1">
      <alignment horizontal="center" vertical="center" wrapText="1"/>
    </xf>
    <xf numFmtId="0" fontId="5" fillId="10" borderId="5"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0" fontId="0" fillId="10" borderId="4" xfId="0" applyNumberFormat="1" applyFont="1" applyFill="1" applyBorder="1" applyAlignment="1">
      <alignment vertical="center"/>
    </xf>
    <xf numFmtId="49" fontId="5" fillId="0" borderId="8" xfId="0" applyNumberFormat="1" applyFont="1" applyBorder="1" applyAlignment="1">
      <alignment horizontal="center" vertical="center" wrapText="1"/>
    </xf>
    <xf numFmtId="49" fontId="57" fillId="0" borderId="3" xfId="0" applyNumberFormat="1" applyFont="1" applyBorder="1" applyAlignment="1">
      <alignment horizontal="left" vertical="center" wrapText="1" indent="1"/>
    </xf>
    <xf numFmtId="0" fontId="28" fillId="0" borderId="0" xfId="0" applyNumberFormat="1" applyFont="1" applyAlignment="1">
      <alignment vertical="center"/>
    </xf>
    <xf numFmtId="0" fontId="56" fillId="0" borderId="0" xfId="0" applyNumberFormat="1" applyFont="1" applyAlignment="1">
      <alignment vertical="center"/>
    </xf>
    <xf numFmtId="0" fontId="0" fillId="0" borderId="0" xfId="0" applyNumberFormat="1" applyFont="1" applyAlignment="1">
      <alignment vertical="center"/>
    </xf>
    <xf numFmtId="49" fontId="21" fillId="10" borderId="4" xfId="0" applyNumberFormat="1" applyFont="1" applyFill="1" applyBorder="1" applyAlignment="1">
      <alignment horizontal="left" vertical="center" indent="1"/>
    </xf>
    <xf numFmtId="49" fontId="31" fillId="10" borderId="4" xfId="0" applyNumberFormat="1" applyFont="1" applyFill="1" applyBorder="1" applyAlignment="1">
      <alignment horizontal="right" vertical="center" wrapText="1"/>
    </xf>
    <xf numFmtId="0" fontId="57" fillId="15" borderId="0" xfId="0" applyNumberFormat="1" applyFont="1" applyFill="1">
      <alignment vertical="top"/>
    </xf>
    <xf numFmtId="49" fontId="13" fillId="0" borderId="0" xfId="0" applyNumberFormat="1" applyFont="1" applyAlignment="1">
      <alignment horizontal="center"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0" fontId="5" fillId="0" borderId="0" xfId="0" applyNumberFormat="1" applyFont="1" applyAlignment="1">
      <alignment horizontal="center" vertical="center" wrapText="1"/>
    </xf>
    <xf numFmtId="0" fontId="31" fillId="0" borderId="0" xfId="0" applyNumberFormat="1" applyFont="1" applyAlignment="1">
      <alignment horizontal="center" vertical="center" wrapText="1"/>
    </xf>
    <xf numFmtId="49" fontId="13" fillId="0" borderId="0" xfId="0" applyNumberFormat="1" applyFont="1" applyAlignment="1">
      <alignment horizontal="center" vertical="center" wrapText="1"/>
    </xf>
    <xf numFmtId="4" fontId="5" fillId="0" borderId="0" xfId="0" applyNumberFormat="1" applyFont="1" applyAlignment="1">
      <alignment horizontal="right" vertical="center" wrapText="1"/>
    </xf>
    <xf numFmtId="9" fontId="31" fillId="0" borderId="0" xfId="0" applyNumberFormat="1" applyFont="1" applyAlignment="1">
      <alignment horizontal="center" vertical="center" wrapText="1"/>
    </xf>
    <xf numFmtId="0" fontId="53" fillId="0" borderId="0" xfId="0" applyNumberFormat="1" applyFont="1" applyAlignment="1">
      <alignment vertical="center" wrapText="1"/>
    </xf>
    <xf numFmtId="0" fontId="29" fillId="0" borderId="0" xfId="0" applyNumberFormat="1" applyFont="1" applyAlignment="1">
      <alignment vertical="center" wrapText="1"/>
    </xf>
    <xf numFmtId="0" fontId="13" fillId="0" borderId="0" xfId="0" applyNumberFormat="1" applyFont="1" applyAlignment="1">
      <alignment vertical="center" wrapText="1"/>
    </xf>
    <xf numFmtId="49" fontId="45" fillId="0" borderId="0" xfId="0" applyNumberFormat="1" applyFont="1" applyAlignment="1">
      <alignment horizontal="center" vertical="center" wrapText="1"/>
    </xf>
    <xf numFmtId="0" fontId="45" fillId="0" borderId="0" xfId="0" applyNumberFormat="1" applyFont="1" applyAlignment="1">
      <alignment vertical="center" wrapText="1"/>
    </xf>
    <xf numFmtId="0" fontId="0" fillId="0" borderId="0" xfId="0" applyNumberFormat="1" applyFont="1">
      <alignment vertical="top"/>
    </xf>
    <xf numFmtId="49" fontId="0"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9" fillId="0" borderId="0" xfId="0" applyNumberFormat="1" applyFont="1">
      <alignment vertical="top"/>
    </xf>
    <xf numFmtId="49" fontId="28" fillId="0" borderId="0" xfId="0" applyNumberFormat="1" applyFont="1">
      <alignment vertical="top"/>
    </xf>
    <xf numFmtId="49" fontId="28" fillId="0" borderId="0" xfId="0" applyNumberFormat="1" applyFont="1">
      <alignment vertical="top"/>
    </xf>
    <xf numFmtId="0" fontId="28" fillId="0" borderId="0" xfId="0" applyNumberFormat="1" applyFont="1">
      <alignment vertical="top"/>
    </xf>
    <xf numFmtId="0" fontId="56" fillId="0" borderId="0" xfId="0" applyNumberFormat="1" applyFont="1">
      <alignment vertical="top"/>
    </xf>
    <xf numFmtId="0" fontId="69" fillId="0" borderId="0" xfId="0" applyNumberFormat="1" applyFont="1">
      <alignment vertical="top"/>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49" fontId="0" fillId="0" borderId="4"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4" fontId="0" fillId="7" borderId="3" xfId="0" applyNumberFormat="1" applyFont="1" applyFill="1" applyBorder="1" applyAlignment="1">
      <alignment horizontal="right" vertical="center" wrapText="1"/>
    </xf>
    <xf numFmtId="0" fontId="0" fillId="0" borderId="3" xfId="0" applyNumberFormat="1" applyFont="1" applyBorder="1" applyAlignment="1">
      <alignment vertical="center" wrapText="1"/>
    </xf>
    <xf numFmtId="49" fontId="0" fillId="0" borderId="20" xfId="0" applyNumberFormat="1" applyFont="1" applyBorder="1" applyAlignment="1">
      <alignment horizontal="center" vertical="center" wrapText="1"/>
    </xf>
    <xf numFmtId="4" fontId="0" fillId="12" borderId="3" xfId="0" applyNumberFormat="1" applyFont="1" applyFill="1" applyBorder="1" applyAlignment="1" applyProtection="1">
      <alignment horizontal="right" vertical="center" wrapText="1"/>
      <protection locked="0"/>
    </xf>
    <xf numFmtId="49" fontId="0" fillId="12" borderId="3" xfId="0" applyNumberFormat="1" applyFont="1" applyFill="1" applyBorder="1" applyAlignment="1" applyProtection="1">
      <alignment horizontal="center" vertical="center" wrapText="1"/>
      <protection locked="0"/>
    </xf>
    <xf numFmtId="4" fontId="28" fillId="0" borderId="3" xfId="0" applyNumberFormat="1" applyFont="1" applyBorder="1" applyAlignment="1">
      <alignment horizontal="right" vertical="center" wrapText="1"/>
    </xf>
    <xf numFmtId="49" fontId="0" fillId="10" borderId="21" xfId="0" applyNumberFormat="1" applyFont="1" applyFill="1" applyBorder="1" applyAlignment="1">
      <alignment horizontal="center" vertical="center"/>
    </xf>
    <xf numFmtId="49" fontId="0" fillId="10" borderId="6" xfId="0" applyNumberFormat="1" applyFont="1" applyFill="1" applyBorder="1" applyAlignment="1">
      <alignment horizontal="center" vertical="center"/>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49" fontId="21"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1"/>
    </xf>
    <xf numFmtId="49" fontId="21" fillId="10" borderId="6" xfId="0" applyNumberFormat="1" applyFont="1" applyFill="1" applyBorder="1" applyAlignment="1">
      <alignment horizontal="left" vertical="center"/>
    </xf>
    <xf numFmtId="49" fontId="21" fillId="10" borderId="4" xfId="0" applyNumberFormat="1" applyFont="1" applyFill="1" applyBorder="1" applyAlignment="1">
      <alignment horizontal="left" vertical="center" indent="1"/>
    </xf>
    <xf numFmtId="0" fontId="21" fillId="0" borderId="3" xfId="0" applyNumberFormat="1" applyFont="1" applyBorder="1" applyAlignment="1">
      <alignment horizontal="left" vertical="center" indent="1"/>
    </xf>
    <xf numFmtId="0" fontId="5" fillId="0" borderId="0" xfId="0" applyNumberFormat="1" applyFont="1" applyAlignment="1">
      <alignment horizontal="right" vertical="center" wrapText="1"/>
    </xf>
    <xf numFmtId="0" fontId="0" fillId="0" borderId="0" xfId="0" applyNumberFormat="1" applyFont="1" applyAlignment="1">
      <alignment vertical="center"/>
    </xf>
    <xf numFmtId="0" fontId="26" fillId="0" borderId="0" xfId="0" applyNumberFormat="1" applyFont="1" applyAlignment="1">
      <alignment horizontal="right" vertical="top" wrapText="1"/>
    </xf>
    <xf numFmtId="0" fontId="5" fillId="0" borderId="0" xfId="0" applyNumberFormat="1" applyFont="1" applyAlignment="1">
      <alignment vertical="top" wrapText="1"/>
    </xf>
    <xf numFmtId="0" fontId="5" fillId="0" borderId="0" xfId="0" applyNumberFormat="1" applyFont="1" applyAlignment="1">
      <alignment horizontal="left" vertical="top" wrapText="1"/>
    </xf>
    <xf numFmtId="0" fontId="17" fillId="0" borderId="0" xfId="0" applyNumberFormat="1" applyFont="1" applyAlignment="1">
      <alignment horizontal="center" vertical="center" wrapText="1"/>
    </xf>
    <xf numFmtId="4" fontId="5" fillId="0" borderId="3" xfId="0" applyNumberFormat="1" applyFont="1" applyBorder="1" applyAlignment="1">
      <alignment horizontal="center" vertical="center" wrapText="1"/>
    </xf>
    <xf numFmtId="49" fontId="35" fillId="9" borderId="5" xfId="0" applyNumberFormat="1" applyFont="1" applyFill="1" applyBorder="1" applyAlignment="1" applyProtection="1">
      <alignment horizontal="left" vertical="center" wrapText="1"/>
      <protection locked="0"/>
    </xf>
    <xf numFmtId="49" fontId="35" fillId="9" borderId="5"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protection locked="0"/>
    </xf>
    <xf numFmtId="0" fontId="26" fillId="0" borderId="0" xfId="0" applyNumberFormat="1" applyFont="1">
      <alignment vertical="top"/>
    </xf>
    <xf numFmtId="49" fontId="5" fillId="0" borderId="22" xfId="0" applyNumberFormat="1" applyFont="1" applyBorder="1" applyAlignment="1">
      <alignment horizontal="center" vertical="center" wrapText="1"/>
    </xf>
    <xf numFmtId="0" fontId="5" fillId="0" borderId="22" xfId="0" applyNumberFormat="1" applyFont="1" applyBorder="1" applyAlignment="1">
      <alignment horizontal="left" vertical="center" wrapText="1"/>
    </xf>
    <xf numFmtId="0" fontId="5" fillId="0" borderId="22" xfId="0" applyNumberFormat="1" applyFont="1" applyBorder="1" applyAlignment="1">
      <alignment horizontal="left" vertical="center" wrapText="1" indent="1"/>
    </xf>
    <xf numFmtId="4" fontId="5" fillId="12" borderId="22" xfId="0" applyNumberFormat="1" applyFont="1" applyFill="1" applyBorder="1" applyAlignment="1" applyProtection="1">
      <alignment horizontal="right" vertical="center" wrapText="1"/>
      <protection locked="0"/>
    </xf>
    <xf numFmtId="49" fontId="5" fillId="0" borderId="23" xfId="0" applyNumberFormat="1" applyFont="1" applyBorder="1" applyAlignment="1">
      <alignment horizontal="center" vertical="center" wrapText="1"/>
    </xf>
    <xf numFmtId="49" fontId="5" fillId="12" borderId="3" xfId="0" applyNumberFormat="1" applyFont="1" applyFill="1" applyBorder="1" applyAlignment="1" applyProtection="1">
      <alignment horizontal="left" vertical="center" wrapText="1" indent="1"/>
      <protection locked="0"/>
    </xf>
    <xf numFmtId="0" fontId="5" fillId="0" borderId="22" xfId="0" applyNumberFormat="1" applyFont="1" applyBorder="1" applyAlignment="1">
      <alignment horizontal="left" vertical="center" wrapText="1" indent="2"/>
    </xf>
    <xf numFmtId="0" fontId="28" fillId="0" borderId="0" xfId="0" applyNumberFormat="1" applyFont="1" applyAlignment="1">
      <alignment horizontal="center" vertical="center" wrapText="1"/>
    </xf>
    <xf numFmtId="49" fontId="5" fillId="0" borderId="0" xfId="0" applyNumberFormat="1" applyFont="1" applyAlignment="1">
      <alignment horizontal="left" vertical="center" wrapText="1"/>
    </xf>
    <xf numFmtId="0" fontId="65" fillId="0" borderId="0" xfId="0" applyNumberFormat="1" applyFont="1" applyAlignment="1">
      <alignment vertical="center" wrapText="1"/>
    </xf>
    <xf numFmtId="0" fontId="65" fillId="0" borderId="0" xfId="0" applyNumberFormat="1" applyFont="1" applyAlignment="1">
      <alignment vertical="center" wrapText="1"/>
    </xf>
    <xf numFmtId="0" fontId="5" fillId="0" borderId="0" xfId="0" applyNumberFormat="1" applyFont="1" applyAlignment="1">
      <alignment horizontal="left" vertical="center" wrapText="1"/>
    </xf>
    <xf numFmtId="0" fontId="5" fillId="0" borderId="3" xfId="0" applyNumberFormat="1" applyFont="1" applyBorder="1" applyAlignment="1">
      <alignment horizontal="left" vertical="center" wrapText="1"/>
    </xf>
    <xf numFmtId="3" fontId="5" fillId="0" borderId="5" xfId="0" applyNumberFormat="1" applyFont="1" applyBorder="1" applyAlignment="1">
      <alignment vertical="center" wrapText="1"/>
    </xf>
    <xf numFmtId="0" fontId="5" fillId="0" borderId="4" xfId="0" applyNumberFormat="1" applyFont="1" applyBorder="1" applyAlignment="1">
      <alignment vertical="center" wrapText="1"/>
    </xf>
    <xf numFmtId="4" fontId="5" fillId="9" borderId="5" xfId="0" applyNumberFormat="1" applyFont="1" applyFill="1" applyBorder="1" applyAlignment="1" applyProtection="1">
      <alignment horizontal="right" vertical="center" wrapText="1"/>
      <protection locked="0"/>
    </xf>
    <xf numFmtId="4" fontId="5" fillId="0" borderId="5"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0"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3" fontId="5" fillId="12" borderId="5" xfId="0" applyNumberFormat="1" applyFont="1" applyFill="1" applyBorder="1" applyAlignment="1" applyProtection="1">
      <alignment vertical="center" wrapText="1"/>
      <protection locked="0"/>
    </xf>
    <xf numFmtId="49" fontId="5" fillId="9" borderId="5" xfId="0" applyNumberFormat="1" applyFont="1" applyFill="1" applyBorder="1" applyAlignment="1" applyProtection="1">
      <alignment horizontal="left" vertical="center" wrapText="1"/>
      <protection locked="0"/>
    </xf>
    <xf numFmtId="4" fontId="5" fillId="7" borderId="5"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0" borderId="5" xfId="0" applyNumberFormat="1" applyFont="1" applyBorder="1" applyAlignment="1">
      <alignment horizontal="center" vertical="center"/>
    </xf>
    <xf numFmtId="49" fontId="0" fillId="0" borderId="3" xfId="0" applyNumberFormat="1" applyFont="1" applyBorder="1" applyAlignment="1">
      <alignment horizontal="left" vertical="center" wrapText="1" indent="1"/>
    </xf>
    <xf numFmtId="0" fontId="5" fillId="0" borderId="4" xfId="0" applyNumberFormat="1" applyFont="1" applyBorder="1" applyAlignment="1">
      <alignment horizontal="center" vertical="center" wrapText="1"/>
    </xf>
    <xf numFmtId="49" fontId="0" fillId="0" borderId="5" xfId="0" applyNumberFormat="1" applyFont="1" applyBorder="1" applyAlignment="1">
      <alignment horizontal="center" vertical="center"/>
    </xf>
    <xf numFmtId="49" fontId="0" fillId="0" borderId="3" xfId="0" applyNumberFormat="1" applyFont="1" applyBorder="1" applyAlignment="1">
      <alignment vertical="center" wrapText="1"/>
    </xf>
    <xf numFmtId="0" fontId="5" fillId="10" borderId="10" xfId="0" applyNumberFormat="1" applyFont="1" applyFill="1" applyBorder="1" applyAlignment="1">
      <alignment vertical="center" wrapText="1"/>
    </xf>
    <xf numFmtId="0" fontId="5" fillId="0" borderId="6" xfId="0" applyNumberFormat="1" applyFont="1" applyBorder="1" applyAlignment="1">
      <alignment horizontal="center" vertical="center" wrapText="1"/>
    </xf>
    <xf numFmtId="0" fontId="5" fillId="10" borderId="18" xfId="0" applyNumberFormat="1" applyFont="1" applyFill="1" applyBorder="1" applyAlignment="1">
      <alignment vertical="center" wrapText="1"/>
    </xf>
    <xf numFmtId="49" fontId="5" fillId="12" borderId="5"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center" wrapText="1"/>
      <protection locked="0"/>
    </xf>
    <xf numFmtId="0" fontId="27" fillId="0" borderId="0" xfId="0" applyNumberFormat="1" applyFont="1" applyAlignment="1">
      <alignment horizontal="left" vertical="center" wrapText="1" indent="1"/>
    </xf>
    <xf numFmtId="0" fontId="70" fillId="0" borderId="0" xfId="0" applyNumberFormat="1" applyFont="1" applyAlignment="1">
      <alignment vertical="center" wrapText="1"/>
    </xf>
    <xf numFmtId="0" fontId="70" fillId="8" borderId="0" xfId="0" applyNumberFormat="1" applyFont="1" applyFill="1" applyAlignment="1">
      <alignment horizontal="center" vertical="center" wrapText="1"/>
    </xf>
    <xf numFmtId="0" fontId="70" fillId="8" borderId="0" xfId="0" applyNumberFormat="1" applyFont="1" applyFill="1" applyAlignment="1">
      <alignment horizontal="right"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top"/>
    </xf>
    <xf numFmtId="0" fontId="5" fillId="0" borderId="3" xfId="0" applyNumberFormat="1" applyFont="1" applyBorder="1" applyAlignment="1">
      <alignment horizontal="left" vertical="center" wrapText="1"/>
    </xf>
    <xf numFmtId="0"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indent="1"/>
    </xf>
    <xf numFmtId="0" fontId="5" fillId="0" borderId="5" xfId="0" applyNumberFormat="1" applyFont="1" applyBorder="1" applyAlignment="1">
      <alignment vertical="center" wrapText="1"/>
    </xf>
    <xf numFmtId="0" fontId="5" fillId="0" borderId="0" xfId="0" applyNumberFormat="1" applyFont="1" applyAlignment="1">
      <alignment horizontal="right" vertical="center"/>
    </xf>
    <xf numFmtId="49" fontId="35" fillId="10" borderId="4" xfId="0" applyNumberFormat="1" applyFont="1" applyFill="1" applyBorder="1" applyAlignment="1">
      <alignment horizontal="left" vertical="center" wrapText="1"/>
    </xf>
    <xf numFmtId="0" fontId="71" fillId="0" borderId="0" xfId="0" applyNumberFormat="1" applyFont="1" applyAlignment="1">
      <alignment vertical="center"/>
    </xf>
    <xf numFmtId="0" fontId="72" fillId="0" borderId="0" xfId="0" applyNumberFormat="1" applyFont="1" applyAlignment="1">
      <alignment vertical="center"/>
    </xf>
    <xf numFmtId="49" fontId="29" fillId="0" borderId="13" xfId="0" applyNumberFormat="1" applyFont="1" applyBorder="1">
      <alignment vertical="top"/>
    </xf>
    <xf numFmtId="49" fontId="29" fillId="0" borderId="13" xfId="0" applyNumberFormat="1" applyFont="1" applyBorder="1">
      <alignment vertical="top"/>
    </xf>
    <xf numFmtId="0" fontId="29" fillId="0" borderId="13" xfId="0" applyNumberFormat="1" applyFont="1" applyBorder="1" applyAlignment="1">
      <alignment vertical="center" wrapText="1"/>
    </xf>
    <xf numFmtId="0" fontId="5" fillId="0" borderId="4" xfId="0" applyNumberFormat="1" applyFont="1" applyBorder="1" applyAlignment="1">
      <alignment horizontal="left" vertical="center" wrapText="1" indent="1"/>
    </xf>
    <xf numFmtId="0" fontId="53" fillId="0" borderId="13" xfId="0" applyNumberFormat="1" applyFont="1" applyBorder="1" applyAlignment="1">
      <alignment vertical="center" wrapText="1"/>
    </xf>
    <xf numFmtId="4" fontId="5" fillId="0" borderId="22" xfId="0" applyNumberFormat="1" applyFont="1" applyBorder="1" applyAlignment="1">
      <alignment horizontal="center" vertical="center" wrapText="1"/>
    </xf>
    <xf numFmtId="0" fontId="5" fillId="0" borderId="24" xfId="0" applyNumberFormat="1" applyFont="1" applyBorder="1" applyAlignment="1">
      <alignment horizontal="left" vertical="center" wrapText="1"/>
    </xf>
    <xf numFmtId="0" fontId="5" fillId="0" borderId="24" xfId="0" applyNumberFormat="1" applyFont="1" applyBorder="1" applyAlignment="1">
      <alignment horizontal="left" vertical="center" wrapText="1" indent="1"/>
    </xf>
    <xf numFmtId="4" fontId="5" fillId="12" borderId="24" xfId="0" applyNumberFormat="1" applyFont="1" applyFill="1" applyBorder="1" applyAlignment="1" applyProtection="1">
      <alignment horizontal="right" vertical="center" wrapText="1"/>
      <protection locked="0"/>
    </xf>
    <xf numFmtId="4" fontId="5" fillId="0" borderId="24" xfId="0" applyNumberFormat="1" applyFont="1" applyBorder="1" applyAlignment="1">
      <alignment horizontal="center" vertical="center" wrapText="1"/>
    </xf>
    <xf numFmtId="49" fontId="5" fillId="0" borderId="25" xfId="0" applyNumberFormat="1" applyFont="1" applyBorder="1" applyAlignment="1">
      <alignment horizontal="center" vertical="center" wrapText="1"/>
    </xf>
    <xf numFmtId="4" fontId="5" fillId="12" borderId="5" xfId="0" applyNumberFormat="1" applyFont="1" applyFill="1" applyBorder="1" applyAlignment="1" applyProtection="1">
      <alignment horizontal="right" vertical="center" wrapText="1"/>
      <protection locked="0"/>
    </xf>
    <xf numFmtId="4" fontId="5" fillId="12" borderId="25" xfId="0" applyNumberFormat="1" applyFont="1" applyFill="1" applyBorder="1" applyAlignment="1" applyProtection="1">
      <alignment horizontal="right" vertical="center" wrapText="1"/>
      <protection locked="0"/>
    </xf>
    <xf numFmtId="0" fontId="28" fillId="0" borderId="0" xfId="0" applyNumberFormat="1" applyFont="1" applyAlignment="1">
      <alignment horizontal="left" vertical="center" wrapText="1"/>
    </xf>
    <xf numFmtId="0" fontId="29" fillId="0" borderId="0" xfId="0" applyNumberFormat="1" applyFont="1" applyAlignment="1">
      <alignment horizontal="left" vertical="center" wrapText="1"/>
    </xf>
    <xf numFmtId="0" fontId="36" fillId="0" borderId="0" xfId="0" applyNumberFormat="1" applyFont="1" applyAlignment="1">
      <alignment horizontal="left" vertical="center" wrapText="1"/>
    </xf>
    <xf numFmtId="0" fontId="13" fillId="0" borderId="0" xfId="0" applyNumberFormat="1" applyFont="1" applyAlignment="1">
      <alignment horizontal="left" vertical="center" wrapText="1"/>
    </xf>
    <xf numFmtId="49" fontId="5" fillId="0" borderId="0" xfId="0" applyNumberFormat="1" applyFont="1" applyAlignment="1">
      <alignment horizontal="center" vertical="center" wrapText="1"/>
    </xf>
    <xf numFmtId="0" fontId="66" fillId="0" borderId="0" xfId="0" applyNumberFormat="1" applyFont="1" applyAlignment="1">
      <alignment vertical="center" wrapText="1"/>
    </xf>
    <xf numFmtId="0" fontId="29" fillId="0" borderId="0" xfId="0" applyNumberFormat="1" applyFont="1" applyAlignment="1">
      <alignment vertical="center" wrapText="1"/>
    </xf>
    <xf numFmtId="0" fontId="36" fillId="0" borderId="0" xfId="0" applyNumberFormat="1" applyFont="1" applyAlignment="1">
      <alignment vertical="center" wrapText="1"/>
    </xf>
    <xf numFmtId="0" fontId="13" fillId="0" borderId="0" xfId="0" applyNumberFormat="1" applyFont="1" applyAlignment="1">
      <alignment vertical="center" wrapText="1"/>
    </xf>
    <xf numFmtId="49" fontId="31" fillId="0" borderId="0" xfId="0" applyNumberFormat="1" applyFont="1" applyAlignment="1">
      <alignment horizontal="center" vertical="center"/>
    </xf>
    <xf numFmtId="0" fontId="5" fillId="0" borderId="0" xfId="0" applyNumberFormat="1" applyFont="1" applyAlignment="1">
      <alignment vertical="center" wrapText="1"/>
    </xf>
    <xf numFmtId="4" fontId="5" fillId="0" borderId="26" xfId="0" applyNumberFormat="1" applyFont="1" applyBorder="1" applyAlignment="1">
      <alignment horizontal="center" vertical="center" wrapText="1"/>
    </xf>
    <xf numFmtId="4" fontId="5" fillId="12" borderId="26" xfId="0" applyNumberFormat="1" applyFont="1" applyFill="1" applyBorder="1" applyAlignment="1" applyProtection="1">
      <alignment horizontal="right" vertical="center" wrapText="1"/>
      <protection locked="0"/>
    </xf>
    <xf numFmtId="4" fontId="5" fillId="12" borderId="14" xfId="0" applyNumberFormat="1" applyFont="1" applyFill="1" applyBorder="1" applyAlignment="1" applyProtection="1">
      <alignment horizontal="right" vertical="center" wrapText="1"/>
      <protection locked="0"/>
    </xf>
    <xf numFmtId="49" fontId="5" fillId="0" borderId="24" xfId="0" applyNumberFormat="1" applyFont="1" applyBorder="1" applyAlignment="1">
      <alignment horizontal="center" vertical="center" wrapText="1"/>
    </xf>
    <xf numFmtId="0" fontId="5" fillId="0" borderId="26" xfId="0" applyNumberFormat="1" applyFont="1" applyBorder="1" applyAlignment="1">
      <alignment horizontal="left" vertical="center" wrapText="1"/>
    </xf>
    <xf numFmtId="0" fontId="5" fillId="0" borderId="11" xfId="0" applyNumberFormat="1" applyFont="1" applyBorder="1" applyAlignment="1">
      <alignment vertical="center" wrapText="1"/>
    </xf>
    <xf numFmtId="0" fontId="18" fillId="0" borderId="0" xfId="0" applyNumberFormat="1" applyFont="1" applyAlignment="1">
      <alignment horizontal="center" vertical="center" wrapText="1"/>
    </xf>
    <xf numFmtId="0" fontId="5" fillId="10" borderId="6" xfId="0" applyNumberFormat="1" applyFont="1" applyFill="1" applyBorder="1" applyAlignment="1">
      <alignment vertical="center" wrapText="1"/>
    </xf>
    <xf numFmtId="0" fontId="28" fillId="10" borderId="4" xfId="0" applyNumberFormat="1" applyFont="1" applyFill="1" applyBorder="1" applyAlignment="1">
      <alignment vertical="center" wrapText="1"/>
    </xf>
    <xf numFmtId="167" fontId="5" fillId="7" borderId="3" xfId="0" applyNumberFormat="1" applyFont="1" applyFill="1" applyBorder="1" applyAlignment="1">
      <alignment horizontal="right" vertical="center" wrapText="1"/>
    </xf>
    <xf numFmtId="0" fontId="0" fillId="0" borderId="0" xfId="0" applyNumberFormat="1" applyFont="1" applyAlignment="1">
      <alignment vertical="center"/>
    </xf>
    <xf numFmtId="4" fontId="5" fillId="9" borderId="3" xfId="0" applyNumberFormat="1" applyFont="1" applyFill="1" applyBorder="1" applyAlignment="1" applyProtection="1">
      <alignment horizontal="right" vertical="center" wrapText="1"/>
      <protection locked="0"/>
    </xf>
    <xf numFmtId="0" fontId="55" fillId="8" borderId="0" xfId="0" applyNumberFormat="1" applyFont="1" applyFill="1" applyAlignment="1">
      <alignment horizontal="right" vertical="center"/>
    </xf>
    <xf numFmtId="49" fontId="0" fillId="0" borderId="3" xfId="0" applyNumberFormat="1" applyFont="1" applyBorder="1">
      <alignment vertical="top"/>
    </xf>
    <xf numFmtId="0" fontId="5" fillId="0" borderId="5" xfId="0" applyNumberFormat="1" applyFont="1" applyBorder="1" applyAlignment="1">
      <alignment horizontal="center" vertical="center" wrapText="1"/>
    </xf>
    <xf numFmtId="49" fontId="0" fillId="5" borderId="8" xfId="0" applyNumberFormat="1" applyFont="1" applyFill="1" applyBorder="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49" fontId="0" fillId="0" borderId="5" xfId="0" applyNumberFormat="1" applyFont="1" applyBorder="1">
      <alignment vertical="top"/>
    </xf>
    <xf numFmtId="49" fontId="0" fillId="0" borderId="5" xfId="0" applyNumberFormat="1" applyFont="1" applyBorder="1" applyAlignment="1">
      <alignment horizontal="center" vertical="top"/>
    </xf>
    <xf numFmtId="49" fontId="0" fillId="0" borderId="6" xfId="0" applyNumberFormat="1" applyFont="1" applyBorder="1" applyAlignment="1">
      <alignment horizontal="center" vertical="top"/>
    </xf>
    <xf numFmtId="49" fontId="0" fillId="0" borderId="0" xfId="0" applyNumberFormat="1" applyFont="1">
      <alignment vertical="top"/>
    </xf>
    <xf numFmtId="0" fontId="5" fillId="0" borderId="0" xfId="0" applyNumberFormat="1" applyFont="1" applyAlignment="1">
      <alignment horizontal="center" vertical="center" wrapText="1"/>
    </xf>
    <xf numFmtId="0" fontId="31" fillId="8" borderId="0" xfId="0" applyNumberFormat="1" applyFont="1" applyFill="1" applyAlignment="1">
      <alignment vertical="center" wrapText="1"/>
    </xf>
    <xf numFmtId="0" fontId="35" fillId="0" borderId="0" xfId="0" applyNumberFormat="1" applyFont="1" applyAlignment="1">
      <alignment horizontal="left" vertical="center" indent="1"/>
    </xf>
    <xf numFmtId="0" fontId="0" fillId="8" borderId="0" xfId="0" applyNumberFormat="1" applyFont="1" applyFill="1" applyAlignment="1">
      <alignment horizontal="right" vertical="center" wrapText="1" indent="1"/>
    </xf>
    <xf numFmtId="0" fontId="0" fillId="8" borderId="0" xfId="0" applyNumberFormat="1" applyFont="1" applyFill="1" applyAlignment="1">
      <alignment horizontal="left" vertical="center" wrapText="1" indent="1"/>
    </xf>
    <xf numFmtId="14" fontId="5" fillId="8" borderId="0" xfId="0" applyNumberFormat="1" applyFont="1" applyFill="1" applyAlignment="1">
      <alignment horizontal="center" vertical="center" wrapText="1"/>
    </xf>
    <xf numFmtId="169" fontId="5" fillId="0" borderId="5" xfId="0" applyNumberFormat="1" applyFont="1" applyBorder="1" applyAlignment="1">
      <alignment horizontal="center" vertical="center" wrapText="1"/>
    </xf>
    <xf numFmtId="49" fontId="17" fillId="0" borderId="6"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14" xfId="0" applyNumberFormat="1" applyFont="1" applyBorder="1" applyAlignment="1">
      <alignment horizontal="center" vertical="center" wrapText="1"/>
    </xf>
    <xf numFmtId="0" fontId="18"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0" fontId="73" fillId="0" borderId="0" xfId="0" applyNumberFormat="1" applyFont="1" applyAlignment="1">
      <alignment horizontal="left" vertical="center" wrapText="1"/>
    </xf>
    <xf numFmtId="14" fontId="73" fillId="8" borderId="0" xfId="0" applyNumberFormat="1" applyFont="1" applyFill="1" applyAlignment="1">
      <alignment horizontal="left" vertical="center" wrapText="1"/>
    </xf>
    <xf numFmtId="14" fontId="74" fillId="0" borderId="0" xfId="0" applyNumberFormat="1" applyFont="1" applyAlignment="1">
      <alignment horizontal="center" vertical="center" wrapText="1"/>
    </xf>
    <xf numFmtId="0" fontId="73" fillId="0" borderId="0" xfId="0" applyNumberFormat="1" applyFont="1" applyAlignment="1">
      <alignment horizontal="left" vertical="center" wrapText="1"/>
    </xf>
    <xf numFmtId="14" fontId="75" fillId="0" borderId="3" xfId="0" applyNumberFormat="1" applyFont="1" applyBorder="1" applyAlignment="1">
      <alignment horizontal="left" vertical="center" wrapText="1"/>
    </xf>
    <xf numFmtId="0" fontId="29" fillId="0" borderId="0" xfId="0" applyNumberFormat="1" applyFont="1" applyAlignment="1">
      <alignment vertical="center"/>
    </xf>
    <xf numFmtId="49" fontId="5" fillId="10" borderId="10" xfId="0" applyNumberFormat="1" applyFont="1" applyFill="1" applyBorder="1" applyAlignment="1">
      <alignment horizontal="center" vertical="center" wrapText="1"/>
    </xf>
    <xf numFmtId="49" fontId="5" fillId="7" borderId="14" xfId="0" applyNumberFormat="1" applyFont="1" applyFill="1" applyBorder="1" applyAlignment="1">
      <alignment horizontal="center" vertical="center" wrapText="1"/>
    </xf>
    <xf numFmtId="49" fontId="28" fillId="0" borderId="3" xfId="0" applyNumberFormat="1" applyFont="1" applyBorder="1" applyAlignment="1">
      <alignment horizontal="left" vertical="center" wrapText="1"/>
    </xf>
    <xf numFmtId="14" fontId="5" fillId="13" borderId="14" xfId="0" applyNumberFormat="1" applyFont="1" applyFill="1" applyBorder="1" applyAlignment="1">
      <alignment horizontal="left" vertical="center" wrapText="1" indent="1"/>
    </xf>
    <xf numFmtId="49" fontId="5" fillId="10" borderId="5" xfId="0" applyNumberFormat="1" applyFont="1" applyFill="1" applyBorder="1" applyAlignment="1">
      <alignment horizontal="right" vertical="center" wrapText="1"/>
    </xf>
    <xf numFmtId="0" fontId="29" fillId="0" borderId="14" xfId="0" applyNumberFormat="1" applyFont="1" applyBorder="1" applyAlignment="1">
      <alignment horizontal="center" vertical="center" wrapText="1"/>
    </xf>
    <xf numFmtId="49" fontId="5" fillId="0" borderId="4" xfId="0" applyNumberFormat="1" applyFont="1" applyBorder="1" applyAlignment="1">
      <alignment horizontal="center" vertical="top"/>
    </xf>
    <xf numFmtId="49" fontId="5" fillId="0" borderId="3" xfId="0" applyNumberFormat="1" applyFont="1" applyBorder="1" applyAlignment="1">
      <alignment horizontal="center" vertical="top"/>
    </xf>
    <xf numFmtId="0" fontId="5" fillId="0" borderId="14" xfId="0" applyNumberFormat="1" applyFont="1" applyBorder="1" applyAlignment="1">
      <alignment horizontal="center" vertical="center" wrapText="1"/>
    </xf>
    <xf numFmtId="49" fontId="5" fillId="0" borderId="5" xfId="0" applyNumberFormat="1" applyFont="1" applyBorder="1" applyAlignment="1">
      <alignment horizontal="center" vertical="top"/>
    </xf>
    <xf numFmtId="0" fontId="17" fillId="0" borderId="15" xfId="0" applyNumberFormat="1" applyFont="1" applyBorder="1" applyAlignment="1">
      <alignment vertical="top" wrapText="1"/>
    </xf>
    <xf numFmtId="0" fontId="17" fillId="0" borderId="0" xfId="0" applyNumberFormat="1" applyFont="1" applyAlignment="1">
      <alignment vertical="top" wrapText="1"/>
    </xf>
    <xf numFmtId="0" fontId="29" fillId="0" borderId="3"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29" fillId="0" borderId="3" xfId="0" applyNumberFormat="1" applyFont="1" applyBorder="1" applyAlignment="1">
      <alignment horizontal="center" vertical="center"/>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49" fontId="57" fillId="12" borderId="3" xfId="0" applyNumberFormat="1" applyFont="1" applyFill="1" applyBorder="1" applyAlignment="1" applyProtection="1">
      <alignment horizontal="left" vertical="center" wrapText="1" indent="1"/>
      <protection locked="0"/>
    </xf>
    <xf numFmtId="0" fontId="28" fillId="0" borderId="13" xfId="0" applyNumberFormat="1" applyFont="1" applyBorder="1" applyAlignment="1">
      <alignment vertical="center"/>
    </xf>
    <xf numFmtId="0" fontId="5"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3" fontId="5" fillId="9" borderId="5" xfId="0" applyNumberFormat="1" applyFont="1" applyFill="1" applyBorder="1" applyAlignment="1" applyProtection="1">
      <alignment horizontal="right" vertical="center" wrapText="1"/>
      <protection locked="0"/>
    </xf>
    <xf numFmtId="49" fontId="35" fillId="9" borderId="3" xfId="0" applyNumberFormat="1" applyFont="1" applyFill="1" applyBorder="1" applyAlignment="1" applyProtection="1">
      <alignment horizontal="left" vertical="center" wrapText="1"/>
      <protection locked="0"/>
    </xf>
    <xf numFmtId="0" fontId="35"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18" fillId="8" borderId="0" xfId="0" applyNumberFormat="1" applyFont="1" applyFill="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49" fontId="17" fillId="8" borderId="6" xfId="0" applyNumberFormat="1" applyFont="1" applyFill="1" applyBorder="1" applyAlignment="1">
      <alignment horizontal="center" vertical="center" wrapText="1"/>
    </xf>
    <xf numFmtId="0" fontId="5" fillId="0" borderId="0" xfId="0" applyNumberFormat="1" applyFont="1" applyAlignment="1">
      <alignment horizontal="left" vertical="center" wrapText="1" indent="1"/>
    </xf>
    <xf numFmtId="0" fontId="63" fillId="0" borderId="8" xfId="0" applyNumberFormat="1" applyFont="1" applyBorder="1" applyAlignment="1">
      <alignment horizontal="center" vertical="center" wrapText="1"/>
    </xf>
    <xf numFmtId="49" fontId="28" fillId="0" borderId="0" xfId="0" applyNumberFormat="1" applyFont="1">
      <alignment vertical="top"/>
    </xf>
    <xf numFmtId="0" fontId="76" fillId="0" borderId="0" xfId="0" applyNumberFormat="1" applyFont="1" applyAlignment="1">
      <alignment vertical="center" wrapText="1"/>
    </xf>
    <xf numFmtId="0" fontId="0" fillId="0" borderId="0" xfId="0" applyNumberFormat="1" applyFont="1">
      <alignment vertical="top"/>
    </xf>
    <xf numFmtId="49" fontId="0" fillId="0" borderId="3" xfId="0" applyNumberFormat="1" applyFont="1" applyBorder="1">
      <alignment vertical="top"/>
    </xf>
    <xf numFmtId="49" fontId="5" fillId="0" borderId="0" xfId="0" applyNumberFormat="1" applyFont="1">
      <alignment vertical="top"/>
    </xf>
    <xf numFmtId="0" fontId="5" fillId="0" borderId="3" xfId="0" applyNumberFormat="1" applyFont="1" applyBorder="1" applyAlignment="1">
      <alignment horizontal="left" vertical="top" wrapText="1"/>
    </xf>
    <xf numFmtId="49" fontId="77" fillId="0" borderId="0" xfId="0" applyNumberFormat="1" applyFont="1" applyAlignment="1">
      <alignment horizontal="center" vertical="top" wrapText="1"/>
    </xf>
    <xf numFmtId="49" fontId="77" fillId="0" borderId="0" xfId="0" applyNumberFormat="1" applyFont="1" applyAlignment="1">
      <alignment vertical="top" wrapText="1"/>
    </xf>
    <xf numFmtId="49" fontId="73" fillId="14" borderId="3" xfId="0" applyNumberFormat="1" applyFont="1" applyFill="1" applyBorder="1" applyAlignment="1">
      <alignment horizontal="center" vertical="top" wrapText="1"/>
    </xf>
    <xf numFmtId="49" fontId="77" fillId="0" borderId="0" xfId="0" applyNumberFormat="1" applyFont="1" applyAlignment="1">
      <alignment horizontal="left" vertical="top" wrapText="1"/>
    </xf>
    <xf numFmtId="49" fontId="77" fillId="0" borderId="3" xfId="0" applyNumberFormat="1" applyFont="1" applyBorder="1" applyAlignment="1">
      <alignment horizontal="left" vertical="top" wrapText="1"/>
    </xf>
    <xf numFmtId="0" fontId="77" fillId="0" borderId="3" xfId="0" applyNumberFormat="1" applyFont="1" applyBorder="1" applyAlignment="1">
      <alignment horizontal="left" vertical="top" wrapText="1"/>
    </xf>
    <xf numFmtId="0" fontId="77" fillId="14" borderId="3" xfId="0" applyNumberFormat="1" applyFont="1" applyFill="1" applyBorder="1" applyAlignment="1">
      <alignment horizontal="right" vertical="center" wrapText="1"/>
    </xf>
    <xf numFmtId="49" fontId="77" fillId="0" borderId="3" xfId="0" applyNumberFormat="1" applyFont="1" applyBorder="1" applyAlignment="1">
      <alignment vertical="top" wrapText="1"/>
    </xf>
    <xf numFmtId="0" fontId="77" fillId="0" borderId="8" xfId="0" applyNumberFormat="1" applyFont="1" applyBorder="1" applyAlignment="1">
      <alignment horizontal="left" vertical="top" wrapText="1"/>
    </xf>
    <xf numFmtId="0" fontId="77" fillId="0" borderId="4" xfId="0" applyNumberFormat="1" applyFont="1" applyBorder="1" applyAlignment="1">
      <alignment horizontal="left" vertical="top" wrapText="1"/>
    </xf>
    <xf numFmtId="0" fontId="77" fillId="0" borderId="3" xfId="0" applyNumberFormat="1" applyFont="1" applyBorder="1" applyAlignment="1">
      <alignment vertical="top" wrapText="1"/>
    </xf>
    <xf numFmtId="0" fontId="73" fillId="14" borderId="3" xfId="0" applyNumberFormat="1" applyFont="1" applyFill="1" applyBorder="1" applyAlignment="1">
      <alignment horizontal="center" vertical="top" wrapText="1"/>
    </xf>
    <xf numFmtId="0" fontId="77" fillId="0" borderId="0" xfId="0" applyNumberFormat="1" applyFont="1" applyAlignment="1">
      <alignment vertical="top" wrapText="1"/>
    </xf>
    <xf numFmtId="0" fontId="72" fillId="0" borderId="0" xfId="0" applyNumberFormat="1" applyFont="1" applyAlignment="1">
      <alignment vertical="center" wrapText="1"/>
    </xf>
    <xf numFmtId="0" fontId="27" fillId="0" borderId="0" xfId="0" applyNumberFormat="1" applyFont="1" applyAlignment="1">
      <alignment horizontal="left" vertical="center" wrapText="1" indent="3"/>
    </xf>
    <xf numFmtId="3" fontId="0" fillId="0" borderId="4" xfId="0" applyNumberFormat="1" applyFont="1" applyBorder="1" applyAlignment="1">
      <alignment horizontal="right" vertical="center" wrapText="1"/>
    </xf>
    <xf numFmtId="0" fontId="5" fillId="13" borderId="5" xfId="0" applyNumberFormat="1" applyFont="1" applyFill="1" applyBorder="1" applyAlignment="1">
      <alignment horizontal="left" vertical="center" wrapText="1"/>
    </xf>
    <xf numFmtId="49" fontId="17" fillId="8" borderId="3" xfId="0" applyNumberFormat="1" applyFont="1" applyFill="1" applyBorder="1" applyAlignment="1">
      <alignment horizontal="center" vertical="center" wrapText="1"/>
    </xf>
    <xf numFmtId="49" fontId="55" fillId="10" borderId="4" xfId="0" applyNumberFormat="1" applyFont="1" applyFill="1" applyBorder="1" applyAlignment="1">
      <alignment vertical="center"/>
    </xf>
    <xf numFmtId="49" fontId="5" fillId="8" borderId="0" xfId="0" applyNumberFormat="1" applyFont="1" applyFill="1" applyAlignment="1">
      <alignment horizontal="center" vertical="center" wrapText="1"/>
    </xf>
    <xf numFmtId="0" fontId="5" fillId="8" borderId="0" xfId="0" applyNumberFormat="1" applyFont="1" applyFill="1" applyAlignment="1">
      <alignment horizontal="center" vertical="top" wrapText="1"/>
    </xf>
    <xf numFmtId="49" fontId="0" fillId="12" borderId="3" xfId="0" applyNumberFormat="1" applyFont="1" applyFill="1" applyBorder="1" applyAlignment="1" applyProtection="1">
      <alignment horizontal="left" vertical="center" wrapText="1" indent="1"/>
      <protection locked="0"/>
    </xf>
    <xf numFmtId="49" fontId="5" fillId="12" borderId="5" xfId="0" applyNumberFormat="1" applyFont="1" applyFill="1" applyBorder="1" applyAlignment="1" applyProtection="1">
      <alignment horizontal="left" vertical="center" wrapText="1"/>
      <protection locked="0"/>
    </xf>
    <xf numFmtId="49" fontId="5" fillId="12" borderId="3" xfId="0" quotePrefix="1" applyNumberFormat="1" applyFont="1" applyFill="1" applyBorder="1" applyAlignment="1" applyProtection="1">
      <alignment horizontal="left" vertical="center" wrapText="1"/>
      <protection locked="0"/>
    </xf>
    <xf numFmtId="14" fontId="5" fillId="13" borderId="14" xfId="0" applyNumberFormat="1" applyFont="1" applyFill="1" applyBorder="1" applyAlignment="1">
      <alignment horizontal="left" vertical="center" wrapText="1"/>
    </xf>
    <xf numFmtId="0" fontId="29" fillId="8" borderId="14" xfId="0" applyNumberFormat="1" applyFont="1" applyFill="1" applyBorder="1" applyAlignment="1">
      <alignment horizontal="center" vertical="center" wrapText="1"/>
    </xf>
    <xf numFmtId="0" fontId="18" fillId="8" borderId="15" xfId="0" applyNumberFormat="1" applyFont="1" applyFill="1" applyBorder="1" applyAlignment="1">
      <alignment vertical="top" wrapText="1"/>
    </xf>
    <xf numFmtId="0" fontId="18" fillId="8" borderId="0" xfId="0" applyNumberFormat="1" applyFont="1" applyFill="1" applyAlignment="1">
      <alignment vertical="top" wrapText="1"/>
    </xf>
    <xf numFmtId="14" fontId="5" fillId="13" borderId="20"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wrapText="1"/>
    </xf>
    <xf numFmtId="0" fontId="21" fillId="10" borderId="6" xfId="0" applyNumberFormat="1" applyFont="1" applyFill="1" applyBorder="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wrapText="1"/>
    </xf>
    <xf numFmtId="49" fontId="28" fillId="0" borderId="0" xfId="0" applyNumberFormat="1" applyFont="1" applyAlignment="1">
      <alignment vertical="center" wrapText="1"/>
    </xf>
    <xf numFmtId="49" fontId="28" fillId="0" borderId="0" xfId="0" applyNumberFormat="1" applyFont="1">
      <alignment vertical="top"/>
    </xf>
    <xf numFmtId="0" fontId="70" fillId="0" borderId="0" xfId="0" applyNumberFormat="1" applyFont="1" applyAlignment="1">
      <alignment vertical="center" wrapText="1"/>
    </xf>
    <xf numFmtId="0" fontId="78" fillId="0" borderId="0" xfId="0" applyNumberFormat="1" applyFont="1" applyAlignment="1">
      <alignment vertical="center" wrapText="1"/>
    </xf>
    <xf numFmtId="0" fontId="28" fillId="0" borderId="0" xfId="0" applyNumberFormat="1" applyFont="1" applyAlignment="1">
      <alignment vertical="center" wrapText="1"/>
    </xf>
    <xf numFmtId="0" fontId="70" fillId="0" borderId="0" xfId="0" applyNumberFormat="1" applyFont="1" applyAlignment="1">
      <alignment horizontal="center" vertical="center" wrapText="1"/>
    </xf>
    <xf numFmtId="0" fontId="28" fillId="0" borderId="0" xfId="0" applyNumberFormat="1" applyFont="1" applyAlignment="1">
      <alignment vertical="center" wrapText="1"/>
    </xf>
    <xf numFmtId="14" fontId="5" fillId="8" borderId="0" xfId="0" applyNumberFormat="1" applyFont="1" applyFill="1" applyAlignment="1">
      <alignment horizontal="left" vertical="center" wrapText="1"/>
    </xf>
    <xf numFmtId="49" fontId="0" fillId="0" borderId="3" xfId="0" applyNumberFormat="1" applyFont="1" applyBorder="1" applyAlignment="1">
      <alignment horizontal="left" vertical="center"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0" fontId="0" fillId="8" borderId="3" xfId="0" applyNumberFormat="1" applyFont="1" applyFill="1" applyBorder="1" applyAlignment="1">
      <alignment horizontal="center" vertical="center" wrapText="1"/>
    </xf>
    <xf numFmtId="0" fontId="0" fillId="12" borderId="5" xfId="0" applyNumberFormat="1" applyFont="1" applyFill="1" applyBorder="1" applyAlignment="1" applyProtection="1">
      <alignment horizontal="left" vertical="center" wrapText="1" indent="2"/>
      <protection locked="0"/>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79" fillId="8" borderId="0" xfId="0" applyNumberFormat="1" applyFont="1" applyFill="1" applyAlignment="1">
      <alignment horizontal="right" vertical="center"/>
    </xf>
    <xf numFmtId="49" fontId="77" fillId="0" borderId="4" xfId="0" applyNumberFormat="1" applyFont="1" applyBorder="1" applyAlignment="1">
      <alignment horizontal="left" vertical="top" wrapText="1"/>
    </xf>
    <xf numFmtId="49" fontId="77" fillId="0" borderId="5" xfId="0" applyNumberFormat="1" applyFont="1" applyBorder="1" applyAlignment="1">
      <alignment horizontal="left" vertical="top" wrapText="1"/>
    </xf>
    <xf numFmtId="0" fontId="77" fillId="0" borderId="8" xfId="0" applyNumberFormat="1" applyFont="1" applyBorder="1" applyAlignment="1">
      <alignment vertical="top" wrapText="1"/>
    </xf>
    <xf numFmtId="0" fontId="77" fillId="0" borderId="27" xfId="0" applyNumberFormat="1" applyFont="1" applyBorder="1" applyAlignment="1">
      <alignment horizontal="left" vertical="top" wrapText="1"/>
    </xf>
    <xf numFmtId="49" fontId="77" fillId="0" borderId="21" xfId="0" applyNumberFormat="1" applyFont="1" applyBorder="1" applyAlignment="1">
      <alignment horizontal="left" vertical="top"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21" fillId="10" borderId="5" xfId="0" applyNumberFormat="1" applyFont="1" applyFill="1" applyBorder="1" applyAlignment="1">
      <alignment horizontal="left" vertical="center" indent="1"/>
    </xf>
    <xf numFmtId="0" fontId="0" fillId="8" borderId="8"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49" fontId="80" fillId="0" borderId="0" xfId="0" applyNumberFormat="1" applyFont="1" applyAlignment="1">
      <alignment horizontal="center" vertical="center" wrapText="1"/>
    </xf>
    <xf numFmtId="0" fontId="5"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0" fontId="5" fillId="0" borderId="29" xfId="0" applyNumberFormat="1" applyFont="1" applyBorder="1" applyAlignment="1">
      <alignment vertical="center" wrapText="1"/>
    </xf>
    <xf numFmtId="0" fontId="28" fillId="0" borderId="0" xfId="0" applyNumberFormat="1" applyFont="1" applyAlignment="1">
      <alignment vertical="center" wrapText="1"/>
    </xf>
    <xf numFmtId="49" fontId="5" fillId="0" borderId="0" xfId="0" applyNumberFormat="1" applyFont="1">
      <alignment vertical="top"/>
    </xf>
    <xf numFmtId="0" fontId="5" fillId="8" borderId="0" xfId="0" applyNumberFormat="1" applyFont="1" applyFill="1" applyAlignment="1">
      <alignment vertical="center" wrapText="1"/>
    </xf>
    <xf numFmtId="49" fontId="5" fillId="0" borderId="0" xfId="0" applyNumberFormat="1" applyFont="1">
      <alignment vertical="top"/>
    </xf>
    <xf numFmtId="0" fontId="5" fillId="0" borderId="0" xfId="0" applyNumberFormat="1" applyFont="1" applyAlignment="1">
      <alignment vertical="center"/>
    </xf>
    <xf numFmtId="0" fontId="0" fillId="8" borderId="8" xfId="0" applyNumberFormat="1" applyFont="1" applyFill="1" applyBorder="1" applyAlignment="1">
      <alignment horizontal="center" vertical="center" wrapText="1"/>
    </xf>
    <xf numFmtId="0" fontId="0" fillId="8" borderId="28" xfId="0" applyNumberFormat="1" applyFont="1" applyFill="1" applyBorder="1" applyAlignment="1">
      <alignment horizontal="center" vertical="center" wrapText="1"/>
    </xf>
    <xf numFmtId="0" fontId="5" fillId="10" borderId="20" xfId="0" applyNumberFormat="1" applyFont="1" applyFill="1" applyBorder="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49" fontId="26" fillId="0" borderId="0" xfId="0" applyNumberFormat="1" applyFont="1" applyAlignment="1">
      <alignment vertical="center"/>
    </xf>
    <xf numFmtId="49" fontId="81"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xf>
    <xf numFmtId="49" fontId="26" fillId="0" borderId="0" xfId="0" applyNumberFormat="1" applyFont="1" applyAlignment="1">
      <alignment vertical="center" wrapText="1"/>
    </xf>
    <xf numFmtId="49" fontId="81" fillId="0" borderId="0" xfId="0" applyNumberFormat="1" applyFont="1" applyAlignment="1">
      <alignment vertical="center" wrapText="1"/>
    </xf>
    <xf numFmtId="49" fontId="26" fillId="0" borderId="0" xfId="0" applyNumberFormat="1" applyFont="1" applyAlignment="1">
      <alignment vertical="center" wrapText="1"/>
    </xf>
    <xf numFmtId="49" fontId="26" fillId="0" borderId="0" xfId="0" applyNumberFormat="1" applyFont="1">
      <alignment vertical="top"/>
    </xf>
    <xf numFmtId="49" fontId="26" fillId="0" borderId="0" xfId="0" applyNumberFormat="1" applyFont="1" applyAlignment="1">
      <alignment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49" fontId="26" fillId="0" borderId="0" xfId="0" applyNumberFormat="1" applyFont="1" applyAlignment="1">
      <alignment horizontal="center" vertical="center" wrapText="1"/>
    </xf>
    <xf numFmtId="49" fontId="81" fillId="0" borderId="0" xfId="0" applyNumberFormat="1" applyFont="1" applyAlignment="1">
      <alignment horizontal="center" vertical="center" wrapText="1"/>
    </xf>
    <xf numFmtId="0" fontId="26" fillId="0" borderId="0" xfId="0" applyNumberFormat="1" applyFont="1" applyAlignment="1">
      <alignment horizontal="center" vertical="center" wrapText="1"/>
    </xf>
    <xf numFmtId="49" fontId="81" fillId="0" borderId="0" xfId="0" applyNumberFormat="1" applyFont="1" applyAlignment="1">
      <alignment vertical="center" wrapText="1"/>
    </xf>
    <xf numFmtId="49" fontId="26" fillId="8" borderId="0" xfId="0" applyNumberFormat="1" applyFont="1" applyFill="1" applyAlignment="1">
      <alignment vertical="center" wrapText="1"/>
    </xf>
    <xf numFmtId="49" fontId="26" fillId="0" borderId="0" xfId="0" applyNumberFormat="1" applyFont="1">
      <alignment vertical="top"/>
    </xf>
    <xf numFmtId="49" fontId="26" fillId="8" borderId="0" xfId="0" applyNumberFormat="1" applyFont="1" applyFill="1" applyAlignment="1">
      <alignment vertical="center"/>
    </xf>
    <xf numFmtId="49" fontId="81" fillId="0" borderId="0" xfId="0" applyNumberFormat="1" applyFont="1" applyAlignment="1">
      <alignment vertical="center"/>
    </xf>
    <xf numFmtId="49" fontId="26" fillId="0" borderId="0" xfId="0" applyNumberFormat="1" applyFont="1">
      <alignment vertical="top"/>
    </xf>
    <xf numFmtId="4" fontId="26" fillId="8" borderId="0" xfId="0" applyNumberFormat="1" applyFont="1" applyFill="1" applyAlignment="1">
      <alignment vertical="center"/>
    </xf>
    <xf numFmtId="49" fontId="13"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49" fontId="5" fillId="8" borderId="0" xfId="0" applyNumberFormat="1" applyFont="1" applyFill="1" applyAlignment="1">
      <alignment horizontal="center" vertical="center" wrapText="1"/>
    </xf>
    <xf numFmtId="49" fontId="29" fillId="0" borderId="4" xfId="0" applyNumberFormat="1" applyFont="1" applyBorder="1" applyAlignment="1">
      <alignment horizontal="left" vertical="center" indent="1"/>
    </xf>
    <xf numFmtId="0" fontId="5" fillId="0" borderId="15" xfId="0" applyNumberFormat="1" applyFont="1" applyBorder="1" applyAlignment="1">
      <alignment vertical="top" wrapText="1"/>
    </xf>
    <xf numFmtId="0" fontId="5" fillId="0" borderId="5"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indent="1"/>
    </xf>
    <xf numFmtId="49" fontId="5" fillId="12" borderId="3" xfId="0" applyNumberFormat="1" applyFont="1" applyFill="1" applyBorder="1" applyAlignment="1" applyProtection="1">
      <alignment horizontal="left" vertical="center" wrapText="1"/>
      <protection locked="0"/>
    </xf>
    <xf numFmtId="0" fontId="18" fillId="0" borderId="0" xfId="0" applyNumberFormat="1" applyFont="1" applyAlignment="1">
      <alignment horizontal="center" vertical="center" wrapText="1"/>
    </xf>
    <xf numFmtId="49" fontId="73" fillId="0" borderId="3" xfId="0" applyNumberFormat="1" applyFont="1" applyBorder="1" applyAlignment="1">
      <alignment horizontal="center" vertical="center" wrapText="1"/>
    </xf>
    <xf numFmtId="0" fontId="73" fillId="0" borderId="3" xfId="0" applyNumberFormat="1" applyFont="1" applyBorder="1" applyAlignment="1">
      <alignment horizontal="center" vertical="center" wrapText="1"/>
    </xf>
    <xf numFmtId="49" fontId="73" fillId="0" borderId="8" xfId="0" applyNumberFormat="1" applyFont="1" applyBorder="1" applyAlignment="1">
      <alignment horizontal="center" vertical="center" wrapText="1"/>
    </xf>
    <xf numFmtId="49" fontId="73" fillId="0" borderId="14" xfId="0" applyNumberFormat="1" applyFont="1" applyBorder="1" applyAlignment="1">
      <alignment horizontal="center" vertical="center" wrapText="1"/>
    </xf>
    <xf numFmtId="0" fontId="73" fillId="0" borderId="8" xfId="0" applyNumberFormat="1" applyFont="1" applyBorder="1" applyAlignment="1">
      <alignment horizontal="center" vertical="center" wrapText="1"/>
    </xf>
    <xf numFmtId="49" fontId="77" fillId="0" borderId="13" xfId="0" applyNumberFormat="1" applyFont="1" applyBorder="1" applyAlignment="1">
      <alignment horizontal="center" vertical="top" wrapText="1"/>
    </xf>
    <xf numFmtId="49" fontId="77" fillId="0" borderId="27" xfId="0" applyNumberFormat="1" applyFont="1" applyBorder="1" applyAlignment="1">
      <alignment horizontal="left" vertical="top" wrapText="1"/>
    </xf>
    <xf numFmtId="0" fontId="73" fillId="0" borderId="3" xfId="0" applyNumberFormat="1" applyFont="1" applyBorder="1" applyAlignment="1">
      <alignment vertical="center" wrapText="1"/>
    </xf>
    <xf numFmtId="0" fontId="73" fillId="0" borderId="8" xfId="0" applyNumberFormat="1" applyFont="1" applyBorder="1" applyAlignment="1">
      <alignment vertical="center" wrapText="1"/>
    </xf>
    <xf numFmtId="0" fontId="73" fillId="0" borderId="14" xfId="0" applyNumberFormat="1" applyFont="1" applyBorder="1" applyAlignment="1">
      <alignment vertical="center" wrapText="1"/>
    </xf>
    <xf numFmtId="49" fontId="73" fillId="0" borderId="3" xfId="0" applyNumberFormat="1" applyFont="1" applyBorder="1" applyAlignment="1">
      <alignment horizontal="left" vertical="top" wrapText="1"/>
    </xf>
    <xf numFmtId="167" fontId="5" fillId="12" borderId="8" xfId="0" applyNumberFormat="1" applyFont="1" applyFill="1" applyBorder="1" applyAlignment="1" applyProtection="1">
      <alignment horizontal="right" vertical="center" wrapText="1"/>
      <protection locked="0"/>
    </xf>
    <xf numFmtId="0" fontId="5" fillId="0" borderId="4"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49" fontId="5" fillId="10" borderId="28" xfId="0" applyNumberFormat="1" applyFont="1" applyFill="1" applyBorder="1" applyAlignment="1">
      <alignment vertical="center" wrapText="1"/>
    </xf>
    <xf numFmtId="49" fontId="21" fillId="10" borderId="10" xfId="0" applyNumberFormat="1" applyFont="1" applyFill="1" applyBorder="1" applyAlignment="1">
      <alignment horizontal="left" vertical="center" indent="1"/>
    </xf>
    <xf numFmtId="0" fontId="54" fillId="0" borderId="0" xfId="0" applyNumberFormat="1" applyFont="1" applyAlignment="1">
      <alignment horizontal="center" vertical="center" wrapText="1"/>
    </xf>
    <xf numFmtId="4" fontId="5" fillId="12" borderId="4" xfId="0" applyNumberFormat="1" applyFont="1" applyFill="1" applyBorder="1" applyAlignment="1" applyProtection="1">
      <alignment horizontal="right" vertical="center" wrapText="1"/>
      <protection locked="0"/>
    </xf>
    <xf numFmtId="167" fontId="5" fillId="12" borderId="4" xfId="0" applyNumberFormat="1" applyFont="1" applyFill="1" applyBorder="1" applyAlignment="1" applyProtection="1">
      <alignment horizontal="right" vertical="center" wrapText="1"/>
      <protection locked="0"/>
    </xf>
    <xf numFmtId="167" fontId="5" fillId="7" borderId="4" xfId="0" applyNumberFormat="1" applyFont="1" applyFill="1" applyBorder="1" applyAlignment="1">
      <alignment horizontal="right" vertical="center" wrapText="1"/>
    </xf>
    <xf numFmtId="4" fontId="5" fillId="12" borderId="20" xfId="0" applyNumberFormat="1" applyFont="1" applyFill="1" applyBorder="1" applyAlignment="1" applyProtection="1">
      <alignment horizontal="right" vertical="center" wrapText="1"/>
      <protection locked="0"/>
    </xf>
    <xf numFmtId="49" fontId="73" fillId="14" borderId="3" xfId="0" applyNumberFormat="1" applyFont="1" applyFill="1" applyBorder="1" applyAlignment="1">
      <alignment horizontal="center" vertical="top"/>
    </xf>
    <xf numFmtId="49" fontId="77" fillId="0" borderId="0" xfId="0" applyNumberFormat="1" applyFont="1">
      <alignment vertical="top"/>
    </xf>
    <xf numFmtId="49" fontId="73" fillId="0" borderId="3" xfId="0" applyNumberFormat="1" applyFont="1" applyBorder="1" applyAlignment="1">
      <alignment horizontal="center" vertical="top" wrapText="1"/>
    </xf>
    <xf numFmtId="49" fontId="73" fillId="0" borderId="3" xfId="0" applyNumberFormat="1" applyFont="1" applyBorder="1" applyAlignment="1">
      <alignment vertical="top" wrapText="1"/>
    </xf>
    <xf numFmtId="0" fontId="73" fillId="0" borderId="3" xfId="0" applyNumberFormat="1" applyFont="1" applyBorder="1" applyAlignment="1">
      <alignment vertical="top" wrapText="1"/>
    </xf>
    <xf numFmtId="49" fontId="73" fillId="0" borderId="3" xfId="0" applyNumberFormat="1" applyFont="1" applyBorder="1">
      <alignment vertical="top"/>
    </xf>
    <xf numFmtId="49" fontId="77" fillId="0" borderId="3" xfId="0" applyNumberFormat="1" applyFont="1" applyBorder="1">
      <alignment vertical="top"/>
    </xf>
    <xf numFmtId="49" fontId="73" fillId="0" borderId="0" xfId="0" applyNumberFormat="1" applyFont="1" applyAlignment="1">
      <alignment horizontal="center" vertical="center" wrapText="1"/>
    </xf>
    <xf numFmtId="49" fontId="73" fillId="0" borderId="0" xfId="0" applyNumberFormat="1" applyFont="1" applyAlignment="1">
      <alignment horizontal="left" vertical="center" wrapText="1"/>
    </xf>
    <xf numFmtId="49" fontId="73" fillId="19" borderId="0" xfId="0" applyNumberFormat="1" applyFont="1" applyFill="1" applyAlignment="1">
      <alignment horizontal="center" vertical="center" wrapText="1"/>
    </xf>
    <xf numFmtId="0" fontId="73" fillId="0" borderId="0" xfId="0" applyNumberFormat="1" applyFont="1" applyAlignment="1">
      <alignment vertical="center" wrapText="1"/>
    </xf>
    <xf numFmtId="0" fontId="29" fillId="0" borderId="3" xfId="0" applyNumberFormat="1" applyFont="1" applyBorder="1" applyAlignment="1">
      <alignment horizontal="left" vertical="center" wrapText="1" indent="3"/>
    </xf>
    <xf numFmtId="49" fontId="29" fillId="0" borderId="3" xfId="0" applyNumberFormat="1" applyFont="1" applyBorder="1" applyAlignment="1">
      <alignment vertical="center" wrapText="1"/>
    </xf>
    <xf numFmtId="0" fontId="29" fillId="0" borderId="8" xfId="0" applyNumberFormat="1" applyFont="1" applyBorder="1" applyAlignment="1">
      <alignment vertical="top" wrapText="1"/>
    </xf>
    <xf numFmtId="0" fontId="29" fillId="0" borderId="27" xfId="0" applyNumberFormat="1" applyFont="1" applyBorder="1" applyAlignment="1">
      <alignment horizontal="left" vertical="center" wrapText="1" indent="1"/>
    </xf>
    <xf numFmtId="0" fontId="29" fillId="0" borderId="27" xfId="0" applyNumberFormat="1" applyFont="1" applyBorder="1" applyAlignment="1">
      <alignment horizontal="center" vertical="center" wrapText="1"/>
    </xf>
    <xf numFmtId="0" fontId="29" fillId="0" borderId="8" xfId="0" applyNumberFormat="1" applyFont="1" applyBorder="1" applyAlignment="1">
      <alignment vertical="center" wrapText="1"/>
    </xf>
    <xf numFmtId="0" fontId="29" fillId="0" borderId="14" xfId="0" applyNumberFormat="1" applyFont="1" applyBorder="1" applyAlignment="1">
      <alignment horizontal="left" vertical="center" wrapText="1" indent="1"/>
    </xf>
    <xf numFmtId="0" fontId="29" fillId="0" borderId="8" xfId="0" applyNumberFormat="1" applyFont="1" applyBorder="1" applyAlignment="1">
      <alignment horizontal="left" vertical="center" wrapText="1" indent="1"/>
    </xf>
    <xf numFmtId="49" fontId="77" fillId="14" borderId="3" xfId="0" applyNumberFormat="1" applyFont="1" applyFill="1" applyBorder="1" applyAlignment="1">
      <alignment horizontal="center" vertical="top" wrapText="1"/>
    </xf>
    <xf numFmtId="49" fontId="77" fillId="14" borderId="3" xfId="0" applyNumberFormat="1" applyFont="1" applyFill="1" applyBorder="1" applyAlignment="1">
      <alignment horizontal="left" vertical="top" wrapText="1"/>
    </xf>
    <xf numFmtId="49" fontId="77" fillId="14" borderId="0" xfId="0" applyNumberFormat="1" applyFont="1" applyFill="1" applyAlignment="1">
      <alignment horizontal="left" vertical="top" wrapText="1"/>
    </xf>
    <xf numFmtId="0" fontId="73" fillId="0" borderId="5" xfId="0" applyNumberFormat="1" applyFont="1" applyBorder="1" applyAlignment="1">
      <alignment horizontal="center" vertical="center" wrapText="1"/>
    </xf>
    <xf numFmtId="0" fontId="5" fillId="0" borderId="14" xfId="0" applyNumberFormat="1" applyFont="1" applyBorder="1" applyAlignment="1">
      <alignment vertical="top" wrapText="1"/>
    </xf>
    <xf numFmtId="0" fontId="5" fillId="0" borderId="14" xfId="0" applyNumberFormat="1" applyFont="1" applyBorder="1" applyAlignment="1">
      <alignment vertical="top" wrapText="1"/>
    </xf>
    <xf numFmtId="0" fontId="73" fillId="0" borderId="5" xfId="0" applyNumberFormat="1" applyFont="1" applyBorder="1" applyAlignment="1">
      <alignment horizontal="center" vertical="center"/>
    </xf>
    <xf numFmtId="49" fontId="29" fillId="8" borderId="3" xfId="0" applyNumberFormat="1" applyFont="1" applyFill="1" applyBorder="1" applyAlignment="1">
      <alignment horizontal="center" vertical="center"/>
    </xf>
    <xf numFmtId="0" fontId="29" fillId="8" borderId="3" xfId="0" applyNumberFormat="1" applyFont="1" applyFill="1" applyBorder="1" applyAlignment="1">
      <alignment horizontal="left" vertical="center" wrapText="1" indent="1"/>
    </xf>
    <xf numFmtId="0" fontId="29" fillId="8" borderId="3" xfId="0" applyNumberFormat="1" applyFont="1" applyFill="1" applyBorder="1" applyAlignment="1">
      <alignment vertical="center" wrapText="1"/>
    </xf>
    <xf numFmtId="49" fontId="29" fillId="0" borderId="3" xfId="0" applyNumberFormat="1" applyFont="1" applyBorder="1" applyAlignment="1">
      <alignment horizontal="center" vertical="center"/>
    </xf>
    <xf numFmtId="0" fontId="29" fillId="0" borderId="3" xfId="0" applyNumberFormat="1" applyFont="1" applyBorder="1" applyAlignment="1">
      <alignment horizontal="left" vertical="center" wrapText="1" indent="1"/>
    </xf>
    <xf numFmtId="0" fontId="29" fillId="0" borderId="3" xfId="0" applyNumberFormat="1" applyFont="1" applyBorder="1" applyAlignment="1">
      <alignment horizontal="left" vertical="center" wrapText="1"/>
    </xf>
    <xf numFmtId="0" fontId="29" fillId="0" borderId="3" xfId="0" applyNumberFormat="1" applyFont="1" applyBorder="1" applyAlignment="1">
      <alignment vertical="center" wrapText="1"/>
    </xf>
    <xf numFmtId="0" fontId="29" fillId="0" borderId="3" xfId="0" applyNumberFormat="1" applyFont="1" applyBorder="1" applyAlignment="1">
      <alignment horizontal="center" vertical="center" wrapText="1"/>
    </xf>
    <xf numFmtId="0" fontId="29" fillId="8" borderId="3" xfId="0" applyNumberFormat="1" applyFont="1" applyFill="1" applyBorder="1" applyAlignment="1">
      <alignment horizontal="left" vertical="center" wrapText="1" indent="2"/>
    </xf>
    <xf numFmtId="49" fontId="29" fillId="0" borderId="3" xfId="0" applyNumberFormat="1" applyFont="1" applyBorder="1" applyAlignment="1">
      <alignment horizontal="left" vertical="center" wrapText="1"/>
    </xf>
    <xf numFmtId="49" fontId="29" fillId="0" borderId="3" xfId="0" applyNumberFormat="1" applyFont="1" applyBorder="1" applyAlignment="1">
      <alignment horizontal="left" vertical="center" wrapText="1"/>
    </xf>
    <xf numFmtId="2" fontId="5" fillId="0" borderId="14" xfId="0" applyNumberFormat="1" applyFont="1" applyBorder="1" applyAlignment="1">
      <alignment horizontal="center" vertical="center" wrapText="1"/>
    </xf>
    <xf numFmtId="0" fontId="82" fillId="0" borderId="0" xfId="0" applyNumberFormat="1" applyFont="1" applyAlignment="1">
      <alignment horizontal="center" vertical="center" wrapText="1"/>
    </xf>
    <xf numFmtId="0" fontId="83" fillId="8" borderId="0" xfId="0" applyNumberFormat="1" applyFont="1" applyFill="1" applyAlignment="1">
      <alignment horizontal="right" vertical="center"/>
    </xf>
    <xf numFmtId="0" fontId="5" fillId="0" borderId="14"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29" fillId="0" borderId="18" xfId="0" applyNumberFormat="1" applyFont="1" applyBorder="1" applyAlignment="1">
      <alignment vertical="center" wrapText="1"/>
    </xf>
    <xf numFmtId="49" fontId="35" fillId="0" borderId="5" xfId="0" applyNumberFormat="1" applyFont="1" applyBorder="1" applyAlignment="1">
      <alignment horizontal="left" vertical="center" wrapText="1"/>
    </xf>
    <xf numFmtId="49" fontId="35" fillId="0" borderId="6" xfId="0" applyNumberFormat="1" applyFont="1" applyBorder="1" applyAlignment="1">
      <alignment horizontal="left" vertical="center" wrapText="1"/>
    </xf>
    <xf numFmtId="49" fontId="29"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 fontId="5" fillId="0" borderId="8" xfId="0" applyNumberFormat="1" applyFont="1" applyBorder="1" applyAlignment="1">
      <alignment horizontal="center" vertical="center" wrapText="1"/>
    </xf>
    <xf numFmtId="4" fontId="5" fillId="0" borderId="23" xfId="0" applyNumberFormat="1" applyFont="1" applyBorder="1" applyAlignment="1">
      <alignment horizontal="center" vertical="center" wrapText="1"/>
    </xf>
    <xf numFmtId="49" fontId="35" fillId="0" borderId="28" xfId="0" applyNumberFormat="1" applyFont="1" applyBorder="1" applyAlignment="1">
      <alignment horizontal="left" vertical="center" wrapText="1"/>
    </xf>
    <xf numFmtId="49" fontId="35" fillId="0" borderId="21" xfId="0" applyNumberFormat="1" applyFont="1" applyBorder="1" applyAlignment="1">
      <alignment horizontal="left" vertical="center" wrapText="1"/>
    </xf>
    <xf numFmtId="0" fontId="5" fillId="0" borderId="27" xfId="0" applyNumberFormat="1" applyFont="1" applyBorder="1" applyAlignment="1">
      <alignment vertical="center" wrapText="1"/>
    </xf>
    <xf numFmtId="0" fontId="5" fillId="0" borderId="23" xfId="0" applyNumberFormat="1" applyFont="1" applyBorder="1" applyAlignment="1">
      <alignment horizontal="left" vertical="center" wrapText="1"/>
    </xf>
    <xf numFmtId="49" fontId="28" fillId="0" borderId="0" xfId="0" applyNumberFormat="1" applyFont="1" applyAlignment="1">
      <alignment horizontal="center" vertical="center" wrapText="1"/>
    </xf>
    <xf numFmtId="0" fontId="5" fillId="0" borderId="0" xfId="0" applyNumberFormat="1" applyFont="1" applyAlignment="1">
      <alignment vertical="top" wrapText="1"/>
    </xf>
    <xf numFmtId="0" fontId="5" fillId="0" borderId="0" xfId="0" applyNumberFormat="1" applyFont="1">
      <alignment vertical="top"/>
    </xf>
    <xf numFmtId="4" fontId="5" fillId="0" borderId="31" xfId="0" applyNumberFormat="1" applyFont="1" applyBorder="1" applyAlignment="1">
      <alignment horizontal="center" vertical="center" wrapText="1"/>
    </xf>
    <xf numFmtId="0" fontId="29" fillId="0" borderId="0" xfId="0" applyNumberFormat="1" applyFont="1" applyAlignment="1">
      <alignment horizontal="center" vertical="top"/>
    </xf>
    <xf numFmtId="49" fontId="29" fillId="0" borderId="0" xfId="0" applyNumberFormat="1" applyFont="1">
      <alignment vertical="top"/>
    </xf>
    <xf numFmtId="0" fontId="29" fillId="0" borderId="14" xfId="0" applyNumberFormat="1" applyFont="1" applyBorder="1" applyAlignment="1">
      <alignment vertical="center" wrapText="1"/>
    </xf>
    <xf numFmtId="4" fontId="29" fillId="0" borderId="3" xfId="0" applyNumberFormat="1" applyFont="1" applyBorder="1" applyAlignment="1">
      <alignment horizontal="right" vertical="center" wrapText="1"/>
    </xf>
    <xf numFmtId="2" fontId="29" fillId="0" borderId="14" xfId="0" applyNumberFormat="1" applyFont="1" applyBorder="1" applyAlignment="1">
      <alignment horizontal="center" vertical="center" wrapText="1"/>
    </xf>
    <xf numFmtId="0" fontId="29" fillId="0" borderId="3" xfId="0" applyNumberFormat="1" applyFont="1" applyBorder="1" applyAlignment="1">
      <alignment horizontal="left" vertical="center" wrapText="1"/>
    </xf>
    <xf numFmtId="49" fontId="2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1"/>
    </xf>
    <xf numFmtId="49" fontId="29" fillId="0" borderId="6" xfId="0" applyNumberFormat="1" applyFont="1" applyBorder="1" applyAlignment="1">
      <alignment horizontal="left" vertical="center"/>
    </xf>
    <xf numFmtId="0" fontId="29" fillId="0" borderId="3" xfId="0" applyNumberFormat="1" applyFont="1" applyBorder="1" applyAlignment="1">
      <alignment horizontal="left" vertical="center" indent="1"/>
    </xf>
    <xf numFmtId="49" fontId="21" fillId="0" borderId="10" xfId="0" applyNumberFormat="1" applyFont="1" applyBorder="1" applyAlignment="1">
      <alignment horizontal="right" vertical="center"/>
    </xf>
    <xf numFmtId="0" fontId="5" fillId="13" borderId="3" xfId="0" applyNumberFormat="1" applyFont="1" applyFill="1" applyBorder="1" applyAlignment="1">
      <alignment horizontal="left" vertical="center" wrapText="1" inden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0" fontId="43" fillId="8" borderId="0" xfId="0" applyNumberFormat="1" applyFont="1" applyFill="1" applyAlignment="1">
      <alignment horizontal="left" vertical="center" wrapText="1" indent="1"/>
    </xf>
    <xf numFmtId="0" fontId="5" fillId="0" borderId="0" xfId="0" applyNumberFormat="1" applyFont="1" applyAlignment="1">
      <alignment horizontal="left" vertical="center" wrapText="1" indent="1"/>
    </xf>
    <xf numFmtId="49" fontId="35" fillId="9" borderId="4" xfId="0" applyNumberFormat="1" applyFont="1" applyFill="1" applyBorder="1" applyAlignment="1" applyProtection="1">
      <alignment horizontal="left" vertical="center" wrapText="1"/>
      <protection locked="0"/>
    </xf>
    <xf numFmtId="49" fontId="5" fillId="0" borderId="0" xfId="0" applyNumberFormat="1" applyFont="1" applyAlignment="1">
      <alignment horizontal="center" vertical="center" wrapText="1"/>
    </xf>
    <xf numFmtId="0" fontId="5" fillId="0" borderId="10" xfId="0" applyNumberFormat="1" applyFont="1" applyBorder="1" applyAlignment="1">
      <alignment vertical="center" wrapText="1"/>
    </xf>
    <xf numFmtId="0" fontId="5" fillId="0" borderId="18" xfId="0" applyNumberFormat="1" applyFont="1" applyBorder="1" applyAlignment="1">
      <alignment vertical="center" wrapText="1"/>
    </xf>
    <xf numFmtId="49" fontId="5" fillId="10" borderId="32" xfId="0" applyNumberFormat="1" applyFont="1" applyFill="1" applyBorder="1" applyAlignment="1">
      <alignment horizontal="center" vertical="center" wrapText="1"/>
    </xf>
    <xf numFmtId="49" fontId="31" fillId="10" borderId="33" xfId="0" applyNumberFormat="1" applyFont="1" applyFill="1" applyBorder="1" applyAlignment="1">
      <alignment horizontal="right" vertical="center" wrapText="1"/>
    </xf>
    <xf numFmtId="49" fontId="31" fillId="10" borderId="34" xfId="0" applyNumberFormat="1" applyFont="1" applyFill="1" applyBorder="1" applyAlignment="1">
      <alignment horizontal="right" vertical="center" wrapText="1"/>
    </xf>
    <xf numFmtId="49" fontId="26" fillId="0" borderId="0" xfId="0" applyNumberFormat="1" applyFont="1">
      <alignment vertical="top"/>
    </xf>
    <xf numFmtId="49" fontId="26" fillId="0" borderId="0" xfId="0" applyNumberFormat="1" applyFont="1" applyAlignment="1">
      <alignment vertical="center" wrapText="1"/>
    </xf>
    <xf numFmtId="0" fontId="26" fillId="0" borderId="0" xfId="0" applyNumberFormat="1" applyFont="1" applyAlignment="1">
      <alignment vertical="center" wrapText="1"/>
    </xf>
    <xf numFmtId="49" fontId="76" fillId="0" borderId="0" xfId="0" applyNumberFormat="1" applyFont="1" applyAlignment="1">
      <alignment vertical="center" wrapText="1"/>
    </xf>
    <xf numFmtId="49" fontId="0" fillId="0" borderId="0" xfId="0" applyNumberFormat="1" applyFont="1" applyAlignment="1">
      <alignment vertical="center" wrapText="1"/>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0" fontId="0" fillId="22" borderId="3" xfId="0" applyNumberFormat="1" applyFont="1" applyFill="1" applyBorder="1" applyAlignment="1">
      <alignment horizontal="center" vertical="center"/>
    </xf>
    <xf numFmtId="49" fontId="0" fillId="0" borderId="0" xfId="0" applyNumberFormat="1" applyFont="1" applyAlignment="1">
      <alignment vertical="center"/>
    </xf>
    <xf numFmtId="49" fontId="28" fillId="20" borderId="3" xfId="0" applyNumberFormat="1" applyFont="1" applyFill="1" applyBorder="1" applyAlignment="1">
      <alignment horizontal="center" vertical="center"/>
    </xf>
    <xf numFmtId="49" fontId="28" fillId="23" borderId="3" xfId="0" applyNumberFormat="1" applyFont="1" applyFill="1" applyBorder="1" applyAlignment="1">
      <alignment horizontal="center" vertical="center"/>
    </xf>
    <xf numFmtId="49" fontId="0" fillId="24" borderId="3" xfId="0" applyNumberFormat="1" applyFont="1" applyFill="1" applyBorder="1" applyAlignment="1">
      <alignment horizontal="center" vertical="center"/>
    </xf>
    <xf numFmtId="49" fontId="5" fillId="0" borderId="0" xfId="0" applyNumberFormat="1" applyFont="1">
      <alignment vertical="top"/>
    </xf>
    <xf numFmtId="0" fontId="5"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3" xfId="0" applyNumberFormat="1" applyFont="1" applyBorder="1" applyAlignment="1">
      <alignment vertical="center"/>
    </xf>
    <xf numFmtId="0" fontId="0" fillId="0" borderId="5" xfId="0" applyNumberFormat="1" applyFont="1" applyBorder="1" applyAlignment="1">
      <alignment vertical="center"/>
    </xf>
    <xf numFmtId="0" fontId="0" fillId="0" borderId="5" xfId="0" applyNumberFormat="1" applyFont="1" applyBorder="1" applyAlignment="1">
      <alignment vertical="center"/>
    </xf>
    <xf numFmtId="49" fontId="5" fillId="0" borderId="35" xfId="0" applyNumberFormat="1" applyFont="1" applyBorder="1" applyAlignment="1">
      <alignment vertical="center"/>
    </xf>
    <xf numFmtId="49" fontId="5" fillId="0" borderId="36" xfId="0" applyNumberFormat="1" applyFont="1" applyBorder="1">
      <alignment vertical="top"/>
    </xf>
    <xf numFmtId="0" fontId="0" fillId="0" borderId="4" xfId="0" applyNumberFormat="1" applyFont="1" applyBorder="1" applyAlignment="1">
      <alignment vertical="center"/>
    </xf>
    <xf numFmtId="0" fontId="0" fillId="0" borderId="3" xfId="0" applyNumberFormat="1" applyFont="1" applyBorder="1" applyAlignment="1">
      <alignment horizontal="right" vertical="top"/>
    </xf>
    <xf numFmtId="0" fontId="0" fillId="0" borderId="3" xfId="0" applyNumberFormat="1" applyFont="1" applyBorder="1">
      <alignment vertical="top"/>
    </xf>
    <xf numFmtId="0" fontId="5" fillId="0" borderId="4" xfId="0" applyNumberFormat="1" applyFont="1" applyBorder="1" applyAlignment="1">
      <alignment vertical="center"/>
    </xf>
    <xf numFmtId="49" fontId="5" fillId="0" borderId="3" xfId="0" applyNumberFormat="1" applyFont="1" applyBorder="1" applyAlignment="1">
      <alignment vertical="center"/>
    </xf>
    <xf numFmtId="0" fontId="0" fillId="0" borderId="0" xfId="0" applyNumberFormat="1" applyFont="1">
      <alignment vertical="top"/>
    </xf>
    <xf numFmtId="0" fontId="5" fillId="0" borderId="3" xfId="0" applyNumberFormat="1" applyFont="1" applyBorder="1">
      <alignment vertical="top"/>
    </xf>
    <xf numFmtId="49" fontId="5" fillId="0" borderId="3" xfId="0" applyNumberFormat="1" applyFont="1" applyBorder="1">
      <alignment vertical="top"/>
    </xf>
    <xf numFmtId="0" fontId="5" fillId="0" borderId="0" xfId="0" applyNumberFormat="1" applyFont="1" applyAlignment="1">
      <alignment vertical="center"/>
    </xf>
    <xf numFmtId="49" fontId="5" fillId="0" borderId="5" xfId="0" applyNumberFormat="1" applyFont="1" applyBorder="1">
      <alignment vertical="top"/>
    </xf>
    <xf numFmtId="0" fontId="0" fillId="0" borderId="0" xfId="0" applyNumberFormat="1" applyFont="1" applyAlignment="1">
      <alignment vertical="center"/>
    </xf>
    <xf numFmtId="0" fontId="5" fillId="0" borderId="0" xfId="0" applyNumberFormat="1" applyFont="1">
      <alignment vertical="top"/>
    </xf>
    <xf numFmtId="49" fontId="5" fillId="0" borderId="3" xfId="0" applyNumberFormat="1" applyFont="1" applyBorder="1">
      <alignment vertical="top"/>
    </xf>
    <xf numFmtId="49" fontId="0" fillId="0" borderId="5" xfId="0" applyNumberFormat="1" applyFont="1" applyBorder="1">
      <alignment vertical="top"/>
    </xf>
    <xf numFmtId="0" fontId="0" fillId="0" borderId="8" xfId="0" applyNumberFormat="1" applyFont="1" applyBorder="1">
      <alignment vertical="top"/>
    </xf>
    <xf numFmtId="0" fontId="5" fillId="0" borderId="8" xfId="0" applyNumberFormat="1" applyFont="1" applyBorder="1" applyAlignment="1">
      <alignment vertical="center"/>
    </xf>
    <xf numFmtId="49" fontId="5" fillId="0" borderId="22" xfId="0" applyNumberFormat="1" applyFont="1" applyBorder="1" applyAlignment="1">
      <alignment horizontal="center" vertical="center"/>
    </xf>
    <xf numFmtId="49" fontId="5" fillId="0" borderId="0" xfId="0" applyNumberFormat="1" applyFont="1">
      <alignment vertical="top"/>
    </xf>
    <xf numFmtId="49" fontId="0" fillId="9" borderId="22" xfId="0" applyNumberFormat="1" applyFont="1" applyFill="1" applyBorder="1" applyAlignment="1" applyProtection="1">
      <alignment horizontal="left" vertical="center"/>
      <protection locked="0"/>
    </xf>
    <xf numFmtId="49" fontId="0" fillId="0" borderId="3" xfId="0" applyNumberFormat="1" applyFont="1" applyBorder="1" applyAlignment="1">
      <alignment horizontal="center" vertical="center"/>
    </xf>
    <xf numFmtId="49" fontId="0" fillId="0" borderId="22" xfId="0" applyNumberFormat="1" applyFont="1" applyBorder="1" applyAlignment="1">
      <alignment horizontal="right" vertical="center"/>
    </xf>
    <xf numFmtId="0" fontId="0" fillId="7" borderId="22" xfId="0" applyNumberFormat="1" applyFont="1" applyFill="1" applyBorder="1" applyAlignment="1">
      <alignment horizontal="center" vertical="center"/>
    </xf>
    <xf numFmtId="49" fontId="0" fillId="0" borderId="22" xfId="0" applyNumberFormat="1" applyFont="1" applyBorder="1" applyAlignment="1">
      <alignment horizontal="center" vertical="center"/>
    </xf>
    <xf numFmtId="49" fontId="0" fillId="0" borderId="0" xfId="0" applyNumberFormat="1" applyFont="1" applyAlignment="1">
      <alignment horizontal="left" vertical="center"/>
    </xf>
    <xf numFmtId="0" fontId="0" fillId="0" borderId="0" xfId="0" applyNumberFormat="1" applyFont="1" applyAlignment="1">
      <alignment horizontal="center" vertical="center"/>
    </xf>
    <xf numFmtId="0" fontId="84" fillId="0" borderId="37" xfId="0" applyNumberFormat="1" applyFont="1" applyBorder="1" applyAlignment="1">
      <alignment horizontal="center" vertical="center"/>
    </xf>
    <xf numFmtId="0" fontId="0" fillId="0" borderId="37" xfId="0" applyNumberFormat="1" applyFont="1" applyBorder="1" applyAlignment="1">
      <alignment horizontal="center" vertical="center"/>
    </xf>
    <xf numFmtId="49" fontId="13" fillId="20" borderId="3" xfId="0" applyNumberFormat="1" applyFont="1" applyFill="1" applyBorder="1" applyAlignment="1">
      <alignment horizontal="right" vertical="center"/>
    </xf>
    <xf numFmtId="49" fontId="5" fillId="9" borderId="28" xfId="0" applyNumberFormat="1" applyFont="1" applyFill="1" applyBorder="1" applyProtection="1">
      <alignment vertical="top"/>
      <protection locked="0"/>
    </xf>
    <xf numFmtId="0" fontId="5" fillId="0" borderId="3" xfId="0" applyNumberFormat="1" applyFont="1" applyBorder="1">
      <alignment vertical="top"/>
    </xf>
    <xf numFmtId="49" fontId="5" fillId="14" borderId="14" xfId="0" applyNumberFormat="1" applyFont="1" applyFill="1" applyBorder="1">
      <alignment vertical="top"/>
    </xf>
    <xf numFmtId="49" fontId="5" fillId="14" borderId="3" xfId="0" applyNumberFormat="1" applyFont="1" applyFill="1" applyBorder="1">
      <alignment vertical="top"/>
    </xf>
    <xf numFmtId="0" fontId="0" fillId="0" borderId="23" xfId="0" applyNumberFormat="1" applyFont="1" applyBorder="1" applyAlignment="1">
      <alignment horizontal="center" vertical="center"/>
    </xf>
    <xf numFmtId="49" fontId="0" fillId="0" borderId="0" xfId="0" applyNumberFormat="1" applyFont="1" applyAlignment="1">
      <alignment vertical="center"/>
    </xf>
    <xf numFmtId="49" fontId="13" fillId="20" borderId="5" xfId="0" applyNumberFormat="1" applyFont="1" applyFill="1" applyBorder="1" applyAlignment="1">
      <alignment horizontal="right" vertical="center"/>
    </xf>
    <xf numFmtId="0" fontId="0" fillId="21" borderId="0" xfId="0" applyNumberFormat="1" applyFont="1" applyFill="1" applyAlignment="1">
      <alignment horizontal="right" vertical="center"/>
    </xf>
    <xf numFmtId="0" fontId="85" fillId="0" borderId="38" xfId="0" applyNumberFormat="1" applyFont="1" applyBorder="1" applyAlignment="1">
      <alignment horizontal="left" vertical="center" indent="1"/>
    </xf>
    <xf numFmtId="0" fontId="85" fillId="0" borderId="39" xfId="0" applyNumberFormat="1" applyFont="1" applyBorder="1" applyAlignment="1">
      <alignment horizontal="left" vertical="center" indent="1"/>
    </xf>
    <xf numFmtId="0" fontId="85" fillId="0" borderId="40" xfId="0" applyNumberFormat="1" applyFont="1" applyBorder="1" applyAlignment="1">
      <alignment horizontal="left" vertical="center" inden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49" fontId="80" fillId="0" borderId="0" xfId="0" applyNumberFormat="1" applyFont="1" applyAlignment="1">
      <alignment horizontal="center" vertical="center" wrapText="1"/>
    </xf>
    <xf numFmtId="0" fontId="5" fillId="8" borderId="0" xfId="0" applyNumberFormat="1" applyFont="1" applyFill="1" applyAlignment="1">
      <alignment vertical="center" wrapText="1"/>
    </xf>
    <xf numFmtId="0" fontId="5" fillId="0" borderId="0" xfId="0" applyNumberFormat="1" applyFont="1" applyAlignment="1">
      <alignment vertical="center" wrapText="1"/>
    </xf>
    <xf numFmtId="0" fontId="31" fillId="8" borderId="30" xfId="0" applyNumberFormat="1" applyFont="1" applyFill="1" applyBorder="1" applyAlignment="1">
      <alignment horizontal="center" wrapText="1"/>
    </xf>
    <xf numFmtId="49" fontId="55" fillId="0" borderId="30" xfId="0" applyNumberFormat="1" applyFont="1" applyBorder="1">
      <alignment vertical="top"/>
    </xf>
    <xf numFmtId="0" fontId="0" fillId="0" borderId="3" xfId="0" applyNumberFormat="1" applyFont="1" applyBorder="1" applyAlignment="1">
      <alignment horizontal="center" vertical="center" wrapText="1"/>
    </xf>
    <xf numFmtId="0" fontId="5" fillId="0" borderId="0" xfId="0" applyNumberFormat="1" applyFont="1" applyAlignment="1">
      <alignment horizontal="left" vertical="center" wrapText="1" indent="3"/>
    </xf>
    <xf numFmtId="0" fontId="5" fillId="0" borderId="0" xfId="0" applyNumberFormat="1" applyFont="1" applyAlignment="1">
      <alignment horizontal="left" vertical="center" wrapText="1" indent="3"/>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0" fontId="28" fillId="0" borderId="0" xfId="0" applyNumberFormat="1" applyFont="1" applyAlignment="1">
      <alignment vertical="center" wrapText="1"/>
    </xf>
    <xf numFmtId="0" fontId="5" fillId="0" borderId="0" xfId="0" applyNumberFormat="1" applyFont="1" applyAlignment="1">
      <alignment vertical="center" wrapText="1"/>
    </xf>
    <xf numFmtId="0" fontId="5" fillId="0" borderId="0" xfId="0" applyNumberFormat="1" applyFont="1" applyAlignment="1">
      <alignment vertical="center" wrapText="1"/>
    </xf>
    <xf numFmtId="0" fontId="5" fillId="8" borderId="30" xfId="0" applyNumberFormat="1" applyFont="1" applyFill="1" applyBorder="1" applyAlignment="1">
      <alignment vertical="center" wrapText="1"/>
    </xf>
    <xf numFmtId="0" fontId="5" fillId="12" borderId="3" xfId="0" applyNumberFormat="1" applyFont="1" applyFill="1" applyBorder="1" applyAlignment="1" applyProtection="1">
      <alignment horizontal="left" vertical="center" wrapText="1" indent="1"/>
      <protection locked="0"/>
    </xf>
    <xf numFmtId="49" fontId="28" fillId="20"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49" fontId="5" fillId="0" borderId="0" xfId="0" applyNumberFormat="1" applyFont="1">
      <alignment vertical="top"/>
    </xf>
    <xf numFmtId="49" fontId="86" fillId="0" borderId="7" xfId="0" applyNumberFormat="1" applyFont="1" applyBorder="1">
      <alignment vertical="top"/>
    </xf>
    <xf numFmtId="0" fontId="0" fillId="0" borderId="0" xfId="0" applyNumberFormat="1" applyFont="1">
      <alignment vertical="top"/>
    </xf>
    <xf numFmtId="0" fontId="28" fillId="0" borderId="0" xfId="0" applyNumberFormat="1" applyFont="1" applyAlignment="1">
      <alignment vertical="center" wrapText="1"/>
    </xf>
    <xf numFmtId="49" fontId="35" fillId="12" borderId="3" xfId="0" applyNumberFormat="1" applyFont="1" applyFill="1" applyBorder="1" applyAlignment="1" applyProtection="1">
      <alignment horizontal="left" vertical="center" wrapText="1"/>
      <protection locked="0"/>
    </xf>
    <xf numFmtId="0" fontId="5" fillId="0" borderId="5" xfId="0" applyNumberFormat="1" applyFont="1" applyBorder="1" applyAlignment="1">
      <alignment horizontal="left" vertical="center"/>
    </xf>
    <xf numFmtId="0" fontId="0" fillId="0" borderId="5" xfId="0" applyNumberFormat="1" applyFont="1" applyBorder="1" applyAlignment="1">
      <alignment horizontal="left" vertical="center"/>
    </xf>
    <xf numFmtId="49" fontId="35" fillId="12" borderId="3" xfId="0" applyNumberFormat="1" applyFont="1" applyFill="1" applyBorder="1" applyAlignment="1" applyProtection="1">
      <alignment horizontal="left" vertical="center" wrapText="1"/>
      <protection locked="0"/>
    </xf>
    <xf numFmtId="0" fontId="5" fillId="8" borderId="17" xfId="0" applyNumberFormat="1" applyFont="1" applyFill="1" applyBorder="1" applyAlignment="1">
      <alignment horizontal="right" vertical="center" wrapText="1" indent="1"/>
    </xf>
    <xf numFmtId="49" fontId="28" fillId="0" borderId="0" xfId="0" applyNumberFormat="1" applyFont="1" applyAlignment="1">
      <alignment horizontal="center" vertical="center" wrapText="1"/>
    </xf>
    <xf numFmtId="49" fontId="29" fillId="0" borderId="0" xfId="0" applyNumberFormat="1" applyFont="1" applyAlignment="1">
      <alignment horizontal="center" vertical="center" wrapText="1"/>
    </xf>
    <xf numFmtId="49" fontId="21" fillId="10" borderId="6" xfId="0" applyNumberFormat="1" applyFont="1" applyFill="1" applyBorder="1" applyAlignment="1">
      <alignment horizontal="left" vertical="center" indent="1"/>
    </xf>
    <xf numFmtId="4" fontId="5" fillId="12" borderId="22" xfId="0" applyNumberFormat="1" applyFont="1" applyFill="1" applyBorder="1" applyAlignment="1" applyProtection="1">
      <alignment horizontal="right" vertical="center" wrapText="1"/>
      <protection locked="0"/>
    </xf>
    <xf numFmtId="0" fontId="5" fillId="8" borderId="0" xfId="0" applyNumberFormat="1" applyFont="1" applyFill="1" applyAlignment="1">
      <alignment vertical="center" wrapText="1"/>
    </xf>
    <xf numFmtId="0" fontId="5" fillId="0" borderId="0" xfId="0" applyNumberFormat="1" applyFont="1" applyAlignment="1">
      <alignment vertical="center"/>
    </xf>
    <xf numFmtId="0" fontId="5" fillId="0" borderId="0" xfId="0" applyNumberFormat="1" applyFont="1" applyAlignment="1">
      <alignment vertical="center" wrapText="1"/>
    </xf>
    <xf numFmtId="0" fontId="5" fillId="10" borderId="41" xfId="0" applyNumberFormat="1" applyFont="1" applyFill="1" applyBorder="1" applyAlignment="1">
      <alignment vertical="center" wrapText="1"/>
    </xf>
    <xf numFmtId="0" fontId="5" fillId="10" borderId="42" xfId="0" applyNumberFormat="1" applyFont="1" applyFill="1" applyBorder="1" applyAlignment="1">
      <alignment vertical="center" wrapText="1"/>
    </xf>
    <xf numFmtId="49" fontId="87" fillId="10" borderId="5" xfId="0" applyNumberFormat="1" applyFont="1" applyFill="1" applyBorder="1" applyAlignment="1">
      <alignment horizontal="left" vertical="center" indent="1"/>
    </xf>
    <xf numFmtId="49" fontId="87" fillId="10" borderId="6" xfId="0" applyNumberFormat="1" applyFont="1" applyFill="1" applyBorder="1" applyAlignment="1">
      <alignment horizontal="left" vertical="center" indent="1"/>
    </xf>
    <xf numFmtId="49" fontId="76" fillId="10" borderId="34" xfId="0" applyNumberFormat="1" applyFont="1" applyFill="1" applyBorder="1" applyAlignment="1">
      <alignment horizontal="center" vertical="center"/>
    </xf>
    <xf numFmtId="49" fontId="87" fillId="10" borderId="34" xfId="0" applyNumberFormat="1" applyFont="1" applyFill="1" applyBorder="1" applyAlignment="1">
      <alignment horizontal="left" vertical="center" indent="1"/>
    </xf>
    <xf numFmtId="0" fontId="26" fillId="13" borderId="3" xfId="0" applyNumberFormat="1" applyFont="1" applyFill="1" applyBorder="1" applyAlignment="1">
      <alignment horizontal="left" vertical="center" wrapText="1" indent="1"/>
    </xf>
    <xf numFmtId="49" fontId="26" fillId="10" borderId="6" xfId="0" applyNumberFormat="1" applyFont="1" applyFill="1" applyBorder="1" applyAlignment="1">
      <alignment vertical="top" wrapText="1"/>
    </xf>
    <xf numFmtId="49" fontId="26" fillId="10" borderId="4" xfId="0" applyNumberFormat="1" applyFont="1" applyFill="1" applyBorder="1" applyAlignment="1">
      <alignment vertical="top" wrapText="1"/>
    </xf>
    <xf numFmtId="49" fontId="26" fillId="10" borderId="43" xfId="0" applyNumberFormat="1" applyFont="1" applyFill="1" applyBorder="1" applyAlignment="1">
      <alignment vertical="top" wrapText="1"/>
    </xf>
    <xf numFmtId="49" fontId="87" fillId="10" borderId="43" xfId="0" applyNumberFormat="1" applyFont="1" applyFill="1" applyBorder="1" applyAlignment="1">
      <alignment horizontal="left" vertical="center" indent="1"/>
    </xf>
    <xf numFmtId="0" fontId="5" fillId="8" borderId="30" xfId="0" applyNumberFormat="1" applyFont="1" applyFill="1" applyBorder="1" applyAlignment="1">
      <alignment vertical="center" wrapText="1"/>
    </xf>
    <xf numFmtId="0" fontId="0" fillId="0" borderId="40" xfId="0" applyNumberFormat="1" applyFont="1" applyBorder="1" applyAlignment="1">
      <alignment horizontal="left" vertical="center" wrapText="1"/>
    </xf>
    <xf numFmtId="0" fontId="5" fillId="0" borderId="40" xfId="0" applyNumberFormat="1" applyFont="1" applyBorder="1" applyAlignment="1">
      <alignment vertical="center" wrapText="1"/>
    </xf>
    <xf numFmtId="0" fontId="5" fillId="0" borderId="44" xfId="0" applyNumberFormat="1" applyFont="1" applyBorder="1" applyAlignment="1">
      <alignment vertical="center" wrapText="1"/>
    </xf>
    <xf numFmtId="0" fontId="5" fillId="0" borderId="45" xfId="0" applyNumberFormat="1" applyFont="1" applyBorder="1" applyAlignment="1">
      <alignment vertical="center" wrapText="1"/>
    </xf>
    <xf numFmtId="0" fontId="5" fillId="13" borderId="3" xfId="0" applyNumberFormat="1" applyFont="1" applyFill="1" applyBorder="1" applyAlignment="1">
      <alignment horizontal="left" vertical="center" wrapText="1" indent="1"/>
    </xf>
    <xf numFmtId="0" fontId="0" fillId="10" borderId="41" xfId="0" applyNumberFormat="1" applyFont="1" applyFill="1" applyBorder="1" applyAlignment="1">
      <alignment horizontal="left" vertical="center"/>
    </xf>
    <xf numFmtId="0" fontId="5" fillId="8" borderId="3" xfId="0" applyNumberFormat="1" applyFont="1" applyFill="1" applyBorder="1" applyAlignment="1">
      <alignment horizontal="center" vertical="center" wrapText="1"/>
    </xf>
    <xf numFmtId="49" fontId="17" fillId="0" borderId="3" xfId="0" applyNumberFormat="1" applyFont="1" applyBorder="1" applyAlignment="1">
      <alignment horizontal="center" vertical="center"/>
    </xf>
    <xf numFmtId="49" fontId="17" fillId="14" borderId="3" xfId="0" applyNumberFormat="1" applyFont="1" applyFill="1" applyBorder="1" applyAlignment="1">
      <alignment horizontal="center" vertical="center"/>
    </xf>
    <xf numFmtId="0" fontId="17" fillId="0" borderId="3" xfId="0" applyNumberFormat="1" applyFont="1" applyBorder="1" applyAlignment="1">
      <alignment horizontal="center" vertical="center"/>
    </xf>
    <xf numFmtId="49" fontId="17" fillId="0" borderId="14" xfId="0" applyNumberFormat="1" applyFont="1" applyBorder="1" applyAlignment="1">
      <alignment horizontal="center" vertical="center"/>
    </xf>
    <xf numFmtId="49" fontId="5" fillId="0" borderId="0" xfId="0" applyNumberFormat="1" applyFont="1" applyAlignment="1">
      <alignment vertical="center"/>
    </xf>
    <xf numFmtId="49" fontId="28" fillId="0" borderId="8"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8" xfId="0" applyNumberFormat="1" applyFont="1" applyBorder="1" applyAlignment="1">
      <alignment horizontal="right" vertical="center"/>
    </xf>
    <xf numFmtId="0" fontId="5" fillId="0" borderId="8" xfId="0" applyNumberFormat="1" applyFont="1" applyBorder="1" applyAlignment="1">
      <alignment horizontal="center" vertical="center"/>
    </xf>
    <xf numFmtId="0" fontId="5" fillId="0" borderId="3" xfId="0" applyNumberFormat="1" applyFont="1" applyBorder="1" applyAlignment="1">
      <alignment horizontal="right" vertical="center"/>
    </xf>
    <xf numFmtId="49" fontId="5" fillId="0" borderId="0" xfId="0" applyNumberFormat="1" applyFont="1" applyAlignment="1">
      <alignment vertical="center"/>
    </xf>
    <xf numFmtId="49" fontId="5" fillId="0" borderId="46" xfId="0" applyNumberFormat="1" applyFont="1" applyBorder="1" applyAlignment="1">
      <alignment horizontal="center" vertical="center"/>
    </xf>
    <xf numFmtId="0" fontId="5" fillId="0" borderId="46" xfId="0" applyNumberFormat="1" applyFont="1" applyBorder="1" applyAlignment="1">
      <alignment horizontal="right" vertical="center"/>
    </xf>
    <xf numFmtId="0" fontId="5" fillId="0" borderId="46" xfId="0" applyNumberFormat="1" applyFont="1" applyBorder="1" applyAlignment="1">
      <alignment horizontal="center" vertical="center"/>
    </xf>
    <xf numFmtId="0" fontId="5" fillId="0" borderId="6" xfId="0" applyNumberFormat="1" applyFont="1" applyBorder="1" applyAlignment="1">
      <alignment horizontal="right" vertical="center"/>
    </xf>
    <xf numFmtId="0" fontId="5" fillId="0" borderId="4" xfId="0" applyNumberFormat="1" applyFont="1" applyBorder="1" applyAlignment="1">
      <alignment horizontal="right" vertical="center"/>
    </xf>
    <xf numFmtId="0" fontId="5" fillId="8" borderId="3" xfId="0" applyNumberFormat="1" applyFont="1" applyFill="1" applyBorder="1" applyAlignment="1">
      <alignment horizontal="center" vertical="center"/>
    </xf>
    <xf numFmtId="0" fontId="5" fillId="13" borderId="3" xfId="0" applyNumberFormat="1" applyFont="1" applyFill="1" applyBorder="1" applyAlignment="1">
      <alignment horizontal="left" vertical="center" wrapText="1" indent="1"/>
    </xf>
    <xf numFmtId="0" fontId="5" fillId="12" borderId="3" xfId="0" applyNumberFormat="1" applyFont="1" applyFill="1" applyBorder="1" applyAlignment="1" applyProtection="1">
      <alignment horizontal="left" vertical="center" wrapText="1" indent="1"/>
      <protection locked="0"/>
    </xf>
    <xf numFmtId="0" fontId="5" fillId="14" borderId="3" xfId="0" applyNumberFormat="1" applyFont="1" applyFill="1" applyBorder="1" applyAlignment="1">
      <alignment horizontal="right" vertical="center"/>
    </xf>
    <xf numFmtId="4" fontId="5" fillId="9" borderId="3" xfId="0" applyNumberFormat="1" applyFont="1" applyFill="1" applyBorder="1" applyAlignment="1" applyProtection="1">
      <alignment horizontal="right" vertical="center"/>
      <protection locked="0"/>
    </xf>
    <xf numFmtId="49" fontId="21" fillId="10" borderId="47" xfId="0" applyNumberFormat="1" applyFont="1" applyFill="1" applyBorder="1" applyAlignment="1">
      <alignment horizontal="left" vertical="center" indent="1"/>
    </xf>
    <xf numFmtId="49" fontId="21" fillId="10" borderId="42" xfId="0" applyNumberFormat="1" applyFont="1" applyFill="1" applyBorder="1" applyAlignment="1">
      <alignment horizontal="left" vertical="center" indent="1"/>
    </xf>
    <xf numFmtId="49" fontId="21" fillId="25" borderId="4" xfId="0" applyNumberFormat="1" applyFont="1" applyFill="1" applyBorder="1" applyAlignment="1">
      <alignment horizontal="left" vertical="center" indent="1"/>
    </xf>
    <xf numFmtId="49" fontId="5" fillId="0" borderId="0" xfId="0" applyNumberFormat="1" applyFont="1">
      <alignment vertical="top"/>
    </xf>
    <xf numFmtId="0" fontId="5" fillId="21" borderId="0" xfId="0" applyNumberFormat="1" applyFont="1" applyFill="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0" fillId="0" borderId="3" xfId="0" applyNumberFormat="1" applyFont="1" applyBorder="1" applyAlignment="1">
      <alignment horizontal="center" vertical="center"/>
    </xf>
    <xf numFmtId="0" fontId="5" fillId="8" borderId="10" xfId="0" applyNumberFormat="1" applyFont="1" applyFill="1" applyBorder="1" applyAlignment="1">
      <alignment vertical="center" wrapText="1"/>
    </xf>
    <xf numFmtId="49" fontId="29" fillId="0" borderId="0" xfId="0" applyNumberFormat="1" applyFont="1">
      <alignment vertical="top"/>
    </xf>
    <xf numFmtId="0" fontId="29" fillId="0" borderId="30" xfId="0" applyNumberFormat="1" applyFont="1" applyBorder="1" applyAlignment="1">
      <alignment vertical="center" wrapText="1"/>
    </xf>
    <xf numFmtId="49" fontId="0" fillId="0" borderId="3" xfId="0" applyNumberFormat="1" applyFont="1" applyBorder="1" applyAlignment="1">
      <alignment horizontal="center" vertical="center"/>
    </xf>
    <xf numFmtId="49" fontId="0" fillId="0" borderId="3" xfId="0" applyNumberFormat="1" applyFont="1" applyBorder="1" applyAlignment="1">
      <alignment horizontal="center" vertical="center" wrapText="1"/>
    </xf>
    <xf numFmtId="49" fontId="0" fillId="7" borderId="3" xfId="0" applyNumberFormat="1" applyFont="1" applyFill="1" applyBorder="1" applyAlignment="1">
      <alignment horizontal="center" vertical="center"/>
    </xf>
    <xf numFmtId="49" fontId="5" fillId="0" borderId="13" xfId="0" applyNumberFormat="1" applyFont="1" applyBorder="1">
      <alignment vertical="top"/>
    </xf>
    <xf numFmtId="0" fontId="5" fillId="0" borderId="13" xfId="0" applyNumberFormat="1" applyFont="1" applyBorder="1" applyAlignment="1">
      <alignment vertical="center" wrapText="1"/>
    </xf>
    <xf numFmtId="4" fontId="0" fillId="9" borderId="3" xfId="0" applyNumberFormat="1" applyFont="1" applyFill="1" applyBorder="1" applyAlignment="1" applyProtection="1">
      <alignment horizontal="right" vertical="center" wrapText="1"/>
      <protection locked="0"/>
    </xf>
    <xf numFmtId="4" fontId="0" fillId="7" borderId="3" xfId="0" applyNumberFormat="1" applyFont="1" applyFill="1" applyBorder="1" applyAlignment="1">
      <alignment horizontal="right" vertical="center" wrapText="1"/>
    </xf>
    <xf numFmtId="49" fontId="0" fillId="0" borderId="3" xfId="0" applyNumberFormat="1" applyFont="1" applyBorder="1" applyAlignment="1">
      <alignment horizontal="left" vertical="center" wrapText="1" indent="2"/>
    </xf>
    <xf numFmtId="49" fontId="0" fillId="0" borderId="3" xfId="0" applyNumberFormat="1" applyFont="1" applyBorder="1" applyAlignment="1">
      <alignment horizontal="left" vertical="center" wrapText="1" indent="3"/>
    </xf>
    <xf numFmtId="49" fontId="0" fillId="0" borderId="3" xfId="0" applyNumberFormat="1" applyFont="1" applyBorder="1" applyAlignment="1">
      <alignment horizontal="left" vertical="center" wrapText="1"/>
    </xf>
    <xf numFmtId="0" fontId="5" fillId="0" borderId="29" xfId="0" applyNumberFormat="1" applyFont="1" applyBorder="1" applyAlignment="1">
      <alignment vertical="center"/>
    </xf>
    <xf numFmtId="49" fontId="21" fillId="10" borderId="6" xfId="0" applyNumberFormat="1" applyFont="1" applyFill="1" applyBorder="1" applyAlignment="1">
      <alignment horizontal="left" vertical="center" indent="1"/>
    </xf>
    <xf numFmtId="49" fontId="5" fillId="12" borderId="8" xfId="0" applyNumberFormat="1" applyFont="1" applyFill="1" applyBorder="1" applyAlignment="1" applyProtection="1">
      <alignment horizontal="left" vertical="center" wrapText="1" indent="1"/>
      <protection locked="0"/>
    </xf>
    <xf numFmtId="0" fontId="27" fillId="0" borderId="0" xfId="0" applyNumberFormat="1" applyFont="1" applyAlignment="1">
      <alignment vertical="center" wrapText="1"/>
    </xf>
    <xf numFmtId="0" fontId="5" fillId="8" borderId="18" xfId="0" applyNumberFormat="1" applyFont="1" applyFill="1" applyBorder="1" applyAlignment="1">
      <alignment vertical="center" wrapText="1"/>
    </xf>
    <xf numFmtId="0" fontId="29" fillId="8" borderId="10" xfId="0" applyNumberFormat="1" applyFont="1" applyFill="1" applyBorder="1" applyAlignment="1">
      <alignment horizontal="center" vertical="center" wrapText="1"/>
    </xf>
    <xf numFmtId="49" fontId="54" fillId="0" borderId="0" xfId="0" applyNumberFormat="1" applyFont="1" applyAlignment="1">
      <alignment vertical="center" wrapText="1"/>
    </xf>
    <xf numFmtId="0" fontId="88" fillId="8" borderId="0" xfId="0" applyNumberFormat="1" applyFont="1" applyFill="1" applyAlignment="1">
      <alignment vertical="center" wrapText="1"/>
    </xf>
    <xf numFmtId="0" fontId="5" fillId="0" borderId="0" xfId="0" applyNumberFormat="1" applyFont="1" applyAlignment="1">
      <alignment vertical="center"/>
    </xf>
    <xf numFmtId="49" fontId="29" fillId="8" borderId="0" xfId="0" applyNumberFormat="1" applyFont="1" applyFill="1" applyAlignment="1">
      <alignment horizontal="center" vertical="center" wrapText="1"/>
    </xf>
    <xf numFmtId="0" fontId="5" fillId="0" borderId="0" xfId="0" applyNumberFormat="1" applyFont="1" applyAlignment="1">
      <alignment horizontal="left" vertical="center" wrapText="1"/>
    </xf>
    <xf numFmtId="0" fontId="29" fillId="0" borderId="0" xfId="0" applyNumberFormat="1" applyFont="1" applyAlignment="1">
      <alignment vertical="center"/>
    </xf>
    <xf numFmtId="0" fontId="5" fillId="0" borderId="0" xfId="0" applyNumberFormat="1" applyFont="1" applyAlignment="1">
      <alignment horizontal="left" vertical="center" wrapText="1" indent="1"/>
    </xf>
    <xf numFmtId="0" fontId="5" fillId="0" borderId="0" xfId="0" applyNumberFormat="1" applyFont="1" applyAlignment="1">
      <alignment horizontal="right" vertical="top" wrapText="1"/>
    </xf>
    <xf numFmtId="0" fontId="89" fillId="8" borderId="0" xfId="0" applyNumberFormat="1" applyFont="1" applyFill="1" applyAlignment="1">
      <alignment vertical="center" wrapText="1"/>
    </xf>
    <xf numFmtId="49" fontId="62" fillId="8" borderId="10" xfId="0" applyNumberFormat="1" applyFont="1" applyFill="1" applyBorder="1" applyAlignment="1">
      <alignment horizontal="center" vertical="center" wrapText="1"/>
    </xf>
    <xf numFmtId="0" fontId="62" fillId="8" borderId="10" xfId="0" applyNumberFormat="1" applyFont="1" applyFill="1" applyBorder="1" applyAlignment="1">
      <alignment horizontal="center" vertical="center" wrapText="1"/>
    </xf>
    <xf numFmtId="166" fontId="5" fillId="9" borderId="3" xfId="0" applyNumberFormat="1" applyFont="1" applyFill="1" applyBorder="1" applyAlignment="1" applyProtection="1">
      <alignment horizontal="right" vertical="center" wrapText="1"/>
      <protection locked="0"/>
    </xf>
    <xf numFmtId="0" fontId="26" fillId="0" borderId="3" xfId="0" applyNumberFormat="1" applyFont="1" applyBorder="1" applyAlignment="1">
      <alignment vertical="top" wrapText="1"/>
    </xf>
    <xf numFmtId="0" fontId="5" fillId="0" borderId="0" xfId="0" applyNumberFormat="1" applyFont="1" applyAlignment="1">
      <alignment vertical="center"/>
    </xf>
    <xf numFmtId="0" fontId="90"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90"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vertical="center"/>
    </xf>
    <xf numFmtId="0" fontId="5" fillId="0" borderId="0" xfId="0" applyNumberFormat="1" applyFont="1" applyAlignment="1">
      <alignment horizontal="left" vertical="center" indent="1"/>
    </xf>
    <xf numFmtId="49" fontId="91" fillId="10" borderId="6" xfId="0" applyNumberFormat="1" applyFont="1" applyFill="1" applyBorder="1" applyAlignment="1">
      <alignment horizontal="left" vertical="center" indent="3"/>
    </xf>
    <xf numFmtId="49" fontId="54" fillId="10" borderId="6" xfId="0" applyNumberFormat="1" applyFont="1" applyFill="1" applyBorder="1" applyAlignment="1">
      <alignment horizontal="center" vertical="center" wrapText="1"/>
    </xf>
    <xf numFmtId="49" fontId="49" fillId="10" borderId="6" xfId="0" applyNumberFormat="1" applyFont="1" applyFill="1" applyBorder="1" applyAlignment="1">
      <alignment horizontal="center" vertical="center" wrapText="1"/>
    </xf>
    <xf numFmtId="49" fontId="49" fillId="10" borderId="4" xfId="0" applyNumberFormat="1" applyFont="1" applyFill="1" applyBorder="1" applyAlignment="1">
      <alignment horizontal="center" vertical="center" wrapText="1"/>
    </xf>
    <xf numFmtId="49" fontId="91" fillId="10" borderId="6" xfId="0" applyNumberFormat="1" applyFont="1" applyFill="1" applyBorder="1" applyAlignment="1">
      <alignment horizontal="left" vertical="center" indent="2"/>
    </xf>
    <xf numFmtId="49" fontId="91" fillId="10" borderId="6" xfId="0" applyNumberFormat="1" applyFont="1" applyFill="1" applyBorder="1" applyAlignment="1">
      <alignment horizontal="left" vertical="center" indent="1"/>
    </xf>
    <xf numFmtId="49" fontId="91" fillId="10" borderId="6" xfId="0" applyNumberFormat="1" applyFont="1" applyFill="1" applyBorder="1" applyAlignment="1">
      <alignment horizontal="left" vertical="center"/>
    </xf>
    <xf numFmtId="0" fontId="5" fillId="8" borderId="0" xfId="0" applyNumberFormat="1" applyFont="1" applyFill="1" applyAlignment="1">
      <alignment horizontal="left" vertical="center" wrapText="1"/>
    </xf>
    <xf numFmtId="0" fontId="0" fillId="0" borderId="0" xfId="0" applyNumberFormat="1" applyFont="1" applyAlignment="1">
      <alignment horizontal="left" vertical="center"/>
    </xf>
    <xf numFmtId="49" fontId="62" fillId="8" borderId="10" xfId="0" applyNumberFormat="1" applyFont="1" applyFill="1" applyBorder="1" applyAlignment="1">
      <alignment horizontal="left" vertical="center" wrapText="1"/>
    </xf>
    <xf numFmtId="49" fontId="55" fillId="10" borderId="5" xfId="0" applyNumberFormat="1" applyFont="1" applyFill="1" applyBorder="1" applyAlignment="1">
      <alignment horizontal="left" vertical="center"/>
    </xf>
    <xf numFmtId="49" fontId="83" fillId="10" borderId="5" xfId="0" applyNumberFormat="1" applyFont="1" applyFill="1" applyBorder="1" applyAlignment="1">
      <alignment horizontal="left" vertical="center"/>
    </xf>
    <xf numFmtId="49" fontId="49" fillId="10" borderId="5" xfId="0" applyNumberFormat="1" applyFont="1" applyFill="1" applyBorder="1" applyAlignment="1">
      <alignment horizontal="left" vertical="top"/>
    </xf>
    <xf numFmtId="0" fontId="0" fillId="21" borderId="0" xfId="0" applyNumberFormat="1" applyFont="1" applyFill="1" applyAlignment="1">
      <alignment horizontal="right" vertical="center"/>
    </xf>
    <xf numFmtId="0" fontId="29" fillId="0" borderId="3" xfId="0" applyNumberFormat="1" applyFont="1" applyBorder="1" applyAlignment="1">
      <alignment horizontal="center" vertical="center"/>
    </xf>
    <xf numFmtId="0" fontId="0" fillId="0" borderId="0" xfId="0" applyNumberFormat="1" applyFont="1" applyAlignment="1">
      <alignment vertical="center"/>
    </xf>
    <xf numFmtId="0" fontId="5" fillId="0" borderId="3" xfId="0" applyNumberFormat="1" applyFont="1" applyBorder="1" applyAlignment="1">
      <alignment horizontal="center" vertical="center" wrapText="1"/>
    </xf>
    <xf numFmtId="0" fontId="0" fillId="0" borderId="0" xfId="0" applyNumberFormat="1" applyFont="1" applyAlignment="1">
      <alignment horizontal="left" vertical="top" wrapText="1"/>
    </xf>
    <xf numFmtId="49" fontId="5" fillId="0" borderId="0" xfId="0" applyNumberFormat="1" applyFont="1" applyAlignment="1">
      <alignment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top" wrapText="1"/>
    </xf>
    <xf numFmtId="0" fontId="62" fillId="8" borderId="10"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0" fontId="36" fillId="21" borderId="0" xfId="0" applyNumberFormat="1" applyFont="1" applyFill="1" applyAlignment="1">
      <alignment horizontal="left" vertical="center"/>
    </xf>
    <xf numFmtId="49" fontId="5" fillId="0" borderId="11"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21" xfId="0" applyNumberFormat="1" applyFont="1" applyBorder="1" applyAlignment="1">
      <alignment horizontal="left" vertical="center"/>
    </xf>
    <xf numFmtId="0" fontId="21" fillId="0" borderId="18" xfId="0" applyNumberFormat="1" applyFont="1" applyBorder="1" applyAlignment="1">
      <alignment horizontal="left" vertical="center"/>
    </xf>
    <xf numFmtId="0" fontId="0" fillId="0" borderId="18" xfId="0" applyNumberFormat="1" applyFont="1" applyBorder="1" applyAlignment="1">
      <alignment vertical="center"/>
    </xf>
    <xf numFmtId="0" fontId="21" fillId="0" borderId="20" xfId="0" applyNumberFormat="1" applyFont="1" applyBorder="1" applyAlignment="1">
      <alignment horizontal="left" vertical="center"/>
    </xf>
    <xf numFmtId="49" fontId="5" fillId="0" borderId="0" xfId="0" applyNumberFormat="1" applyFont="1" applyAlignment="1">
      <alignment vertical="center" wrapText="1"/>
    </xf>
    <xf numFmtId="0" fontId="5"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26" fillId="0" borderId="8" xfId="0" applyNumberFormat="1" applyFont="1" applyBorder="1" applyAlignment="1">
      <alignment vertical="top" wrapText="1"/>
    </xf>
    <xf numFmtId="0" fontId="0" fillId="0" borderId="0" xfId="0" applyNumberFormat="1" applyFont="1" applyAlignment="1">
      <alignment vertical="center"/>
    </xf>
    <xf numFmtId="0" fontId="5" fillId="8" borderId="3" xfId="0" applyNumberFormat="1" applyFont="1" applyFill="1" applyBorder="1" applyAlignment="1">
      <alignment horizontal="left" vertical="center" wrapText="1"/>
    </xf>
    <xf numFmtId="0" fontId="5" fillId="0" borderId="0" xfId="0" applyNumberFormat="1" applyFont="1" applyAlignment="1">
      <alignment horizontal="center" vertical="center"/>
    </xf>
    <xf numFmtId="49" fontId="5" fillId="0" borderId="0" xfId="0" applyNumberFormat="1" applyFont="1" applyAlignment="1">
      <alignment vertical="center" wrapText="1"/>
    </xf>
    <xf numFmtId="0" fontId="62" fillId="8" borderId="10"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left" vertical="center" indent="1"/>
    </xf>
    <xf numFmtId="0" fontId="29" fillId="0" borderId="0" xfId="0" applyNumberFormat="1" applyFont="1" applyAlignment="1">
      <alignment horizontal="left" vertical="center" wrapText="1"/>
    </xf>
    <xf numFmtId="49" fontId="29" fillId="0" borderId="0" xfId="0" applyNumberFormat="1" applyFont="1">
      <alignment vertical="top"/>
    </xf>
    <xf numFmtId="49" fontId="89" fillId="0" borderId="0" xfId="0" applyNumberFormat="1" applyFont="1">
      <alignment vertical="top"/>
    </xf>
    <xf numFmtId="49" fontId="79" fillId="0" borderId="10" xfId="0" applyNumberFormat="1" applyFont="1" applyBorder="1" applyAlignment="1">
      <alignment horizontal="left" vertical="center"/>
    </xf>
    <xf numFmtId="49" fontId="29" fillId="0" borderId="10" xfId="0" applyNumberFormat="1" applyFont="1" applyBorder="1" applyAlignment="1">
      <alignment horizontal="left" vertical="center" indent="3"/>
    </xf>
    <xf numFmtId="49" fontId="29" fillId="0" borderId="10" xfId="0" applyNumberFormat="1" applyFont="1" applyBorder="1" applyAlignment="1">
      <alignment horizontal="center" vertical="center" wrapText="1"/>
    </xf>
    <xf numFmtId="49" fontId="29" fillId="0" borderId="0" xfId="0" applyNumberFormat="1" applyFont="1" applyAlignment="1">
      <alignment horizontal="left" vertical="center"/>
    </xf>
    <xf numFmtId="49" fontId="79" fillId="0" borderId="0" xfId="0" applyNumberFormat="1" applyFont="1" applyAlignment="1">
      <alignment horizontal="left" vertical="center"/>
    </xf>
    <xf numFmtId="49" fontId="29" fillId="0" borderId="0" xfId="0" applyNumberFormat="1" applyFont="1" applyAlignment="1">
      <alignment horizontal="left" vertical="center" indent="2"/>
    </xf>
    <xf numFmtId="49" fontId="29" fillId="0" borderId="0" xfId="0" applyNumberFormat="1" applyFont="1" applyAlignment="1">
      <alignment horizontal="center" vertical="center" wrapText="1"/>
    </xf>
    <xf numFmtId="49" fontId="29" fillId="0" borderId="0" xfId="0" applyNumberFormat="1" applyFont="1" applyAlignment="1">
      <alignment horizontal="left" vertical="center" indent="1"/>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left" vertical="top" wrapText="1"/>
    </xf>
    <xf numFmtId="0" fontId="0" fillId="0" borderId="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29" fillId="0" borderId="0" xfId="0" applyNumberFormat="1" applyFont="1" applyAlignment="1">
      <alignment horizontal="center" vertical="center"/>
    </xf>
    <xf numFmtId="0" fontId="5" fillId="0" borderId="0" xfId="0" applyNumberFormat="1" applyFont="1" applyAlignment="1">
      <alignment horizontal="right" vertical="center" wrapText="1"/>
    </xf>
    <xf numFmtId="0" fontId="62" fillId="8" borderId="0" xfId="0" applyNumberFormat="1" applyFont="1" applyFill="1" applyAlignment="1">
      <alignment horizontal="center" vertical="center" wrapText="1"/>
    </xf>
    <xf numFmtId="49" fontId="5" fillId="0" borderId="3" xfId="0" applyNumberFormat="1" applyFont="1" applyBorder="1" applyAlignment="1">
      <alignment horizontal="left" vertical="center" wrapText="1"/>
    </xf>
    <xf numFmtId="0" fontId="29" fillId="0" borderId="0" xfId="0" applyNumberFormat="1" applyFont="1" applyAlignment="1">
      <alignment horizontal="left" vertical="center" indent="1"/>
    </xf>
    <xf numFmtId="49" fontId="89" fillId="0" borderId="0" xfId="0" applyNumberFormat="1" applyFont="1">
      <alignment vertical="top"/>
    </xf>
    <xf numFmtId="49" fontId="5" fillId="0" borderId="3" xfId="0" applyNumberFormat="1" applyFont="1" applyBorder="1" applyAlignment="1">
      <alignment vertical="center" wrapText="1"/>
    </xf>
    <xf numFmtId="0" fontId="29" fillId="0" borderId="0" xfId="0" applyNumberFormat="1" applyFont="1" applyAlignment="1">
      <alignment horizontal="center" vertical="center"/>
    </xf>
    <xf numFmtId="0" fontId="5" fillId="13" borderId="3" xfId="0" applyNumberFormat="1" applyFont="1" applyFill="1" applyBorder="1" applyAlignment="1">
      <alignment horizontal="left" vertical="center" wrapText="1" indent="6"/>
    </xf>
    <xf numFmtId="4" fontId="5" fillId="0" borderId="8" xfId="0" applyNumberFormat="1" applyFont="1" applyBorder="1" applyAlignment="1">
      <alignment horizontal="right" vertical="center" wrapText="1"/>
    </xf>
    <xf numFmtId="4" fontId="5" fillId="0" borderId="14" xfId="0" applyNumberFormat="1" applyFont="1" applyBorder="1" applyAlignment="1">
      <alignment horizontal="right" vertical="center" wrapText="1"/>
    </xf>
    <xf numFmtId="0" fontId="0" fillId="0" borderId="0" xfId="0" applyNumberFormat="1" applyFont="1" applyAlignment="1">
      <alignment vertical="center"/>
    </xf>
    <xf numFmtId="49" fontId="5" fillId="0" borderId="0" xfId="0" applyNumberFormat="1" applyFont="1" applyAlignment="1">
      <alignment vertical="center" wrapText="1"/>
    </xf>
    <xf numFmtId="0" fontId="5" fillId="0" borderId="8"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center" vertical="center" wrapText="1"/>
    </xf>
    <xf numFmtId="0" fontId="0"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xf>
    <xf numFmtId="4" fontId="28" fillId="0" borderId="3" xfId="0" applyNumberFormat="1" applyFont="1" applyBorder="1" applyAlignment="1">
      <alignment horizontal="right" vertical="center" wrapText="1"/>
    </xf>
    <xf numFmtId="166" fontId="28" fillId="0" borderId="3" xfId="0" applyNumberFormat="1" applyFont="1" applyBorder="1" applyAlignment="1">
      <alignment horizontal="right" vertical="center" wrapText="1"/>
    </xf>
    <xf numFmtId="49" fontId="28" fillId="0" borderId="0" xfId="0" applyNumberFormat="1" applyFont="1" applyAlignment="1">
      <alignment vertical="center" wrapText="1"/>
    </xf>
    <xf numFmtId="0" fontId="28" fillId="0" borderId="0" xfId="0" applyNumberFormat="1" applyFont="1" applyAlignment="1">
      <alignment horizontal="left" vertical="center" indent="1"/>
    </xf>
    <xf numFmtId="0" fontId="28" fillId="0" borderId="0" xfId="0" applyNumberFormat="1" applyFont="1" applyAlignment="1">
      <alignment horizontal="center" vertical="center"/>
    </xf>
    <xf numFmtId="0" fontId="28" fillId="0" borderId="0" xfId="0" applyNumberFormat="1" applyFont="1" applyAlignment="1">
      <alignment horizontal="left" vertical="center" wrapText="1"/>
    </xf>
    <xf numFmtId="0" fontId="28" fillId="0" borderId="0" xfId="0" applyNumberFormat="1" applyFont="1" applyAlignment="1">
      <alignment vertical="center" wrapText="1"/>
    </xf>
    <xf numFmtId="49" fontId="28" fillId="0" borderId="3" xfId="0" applyNumberFormat="1" applyFont="1" applyBorder="1" applyAlignment="1">
      <alignment vertical="center" wrapText="1"/>
    </xf>
    <xf numFmtId="0" fontId="28" fillId="0" borderId="0" xfId="0" applyNumberFormat="1" applyFont="1" applyAlignment="1">
      <alignment vertical="center"/>
    </xf>
    <xf numFmtId="0" fontId="28" fillId="0" borderId="0" xfId="0" applyNumberFormat="1" applyFont="1" applyAlignment="1">
      <alignment horizontal="center" vertical="center"/>
    </xf>
    <xf numFmtId="0" fontId="28" fillId="0" borderId="0" xfId="0" applyNumberFormat="1" applyFont="1" applyAlignment="1">
      <alignment vertical="center"/>
    </xf>
    <xf numFmtId="0" fontId="51" fillId="0" borderId="0" xfId="0" applyNumberFormat="1" applyFont="1" applyAlignment="1">
      <alignment vertical="center" wrapText="1"/>
    </xf>
    <xf numFmtId="0" fontId="0" fillId="0" borderId="6" xfId="0" applyNumberFormat="1" applyFont="1" applyBorder="1" applyAlignment="1">
      <alignment vertical="center"/>
    </xf>
    <xf numFmtId="0" fontId="29" fillId="0" borderId="3" xfId="0" applyNumberFormat="1" applyFont="1" applyBorder="1" applyAlignment="1">
      <alignment horizontal="center" vertical="center" wrapText="1"/>
    </xf>
    <xf numFmtId="0" fontId="54" fillId="0" borderId="0" xfId="0" applyNumberFormat="1" applyFont="1" applyAlignment="1">
      <alignment horizontal="left" vertical="center" indent="1"/>
    </xf>
    <xf numFmtId="0" fontId="54" fillId="0" borderId="0" xfId="0" applyNumberFormat="1" applyFont="1" applyAlignment="1">
      <alignment horizontal="left" vertical="center" indent="1"/>
    </xf>
    <xf numFmtId="0" fontId="29" fillId="0" borderId="3" xfId="0" applyNumberFormat="1" applyFont="1" applyBorder="1" applyAlignment="1">
      <alignment vertical="center" wrapText="1"/>
    </xf>
    <xf numFmtId="0" fontId="54" fillId="0" borderId="0" xfId="0" applyNumberFormat="1" applyFont="1" applyAlignment="1">
      <alignment horizontal="center" vertical="center"/>
    </xf>
    <xf numFmtId="0" fontId="54" fillId="0" borderId="0" xfId="0" applyNumberFormat="1" applyFont="1" applyAlignment="1">
      <alignment horizontal="left" vertical="center" wrapText="1"/>
    </xf>
    <xf numFmtId="49" fontId="54" fillId="0" borderId="0" xfId="0" applyNumberFormat="1" applyFont="1" applyAlignment="1">
      <alignment horizontal="left" vertical="center"/>
    </xf>
    <xf numFmtId="0" fontId="5" fillId="0" borderId="0" xfId="0" applyNumberFormat="1" applyFont="1" applyAlignment="1">
      <alignment horizontal="center" vertical="center"/>
    </xf>
    <xf numFmtId="0" fontId="54" fillId="0" borderId="0" xfId="0" applyNumberFormat="1" applyFont="1" applyAlignment="1">
      <alignment horizontal="center" vertical="center"/>
    </xf>
    <xf numFmtId="4" fontId="5" fillId="0" borderId="4" xfId="0" applyNumberFormat="1" applyFont="1" applyBorder="1" applyAlignment="1">
      <alignment horizontal="right" vertical="center" wrapText="1"/>
    </xf>
    <xf numFmtId="0" fontId="29" fillId="0" borderId="3" xfId="0" applyNumberFormat="1" applyFont="1" applyBorder="1" applyAlignment="1">
      <alignment horizontal="left" vertical="center" wrapText="1" indent="4"/>
    </xf>
    <xf numFmtId="0" fontId="29" fillId="0" borderId="3" xfId="0" applyNumberFormat="1" applyFont="1" applyBorder="1" applyAlignment="1">
      <alignment horizontal="left" vertical="center" wrapText="1" indent="6"/>
    </xf>
    <xf numFmtId="0" fontId="29" fillId="0" borderId="3" xfId="0" applyNumberFormat="1" applyFont="1" applyBorder="1" applyAlignment="1">
      <alignment vertical="top" wrapText="1"/>
    </xf>
    <xf numFmtId="49" fontId="79" fillId="0" borderId="5" xfId="0" applyNumberFormat="1" applyFont="1" applyBorder="1" applyAlignment="1">
      <alignment horizontal="left" vertical="center"/>
    </xf>
    <xf numFmtId="49" fontId="29" fillId="0" borderId="6" xfId="0" applyNumberFormat="1" applyFont="1" applyBorder="1" applyAlignment="1">
      <alignment horizontal="left" vertical="center" indent="4"/>
    </xf>
    <xf numFmtId="49" fontId="29" fillId="0" borderId="6" xfId="0" applyNumberFormat="1" applyFont="1" applyBorder="1" applyAlignment="1">
      <alignment horizontal="center" vertical="center" wrapText="1"/>
    </xf>
    <xf numFmtId="49" fontId="29" fillId="0" borderId="4" xfId="0" applyNumberFormat="1" applyFont="1" applyBorder="1" applyAlignment="1">
      <alignment horizontal="center" vertical="center" wrapText="1"/>
    </xf>
    <xf numFmtId="4" fontId="5" fillId="0" borderId="27" xfId="0" applyNumberFormat="1" applyFont="1" applyBorder="1" applyAlignment="1">
      <alignment horizontal="right" vertical="center" wrapText="1"/>
    </xf>
    <xf numFmtId="0" fontId="5" fillId="9" borderId="3" xfId="0" applyNumberFormat="1" applyFont="1" applyFill="1" applyBorder="1" applyAlignment="1" applyProtection="1">
      <alignment horizontal="left" vertical="center" wrapText="1" indent="7"/>
      <protection locked="0"/>
    </xf>
    <xf numFmtId="0" fontId="5" fillId="10" borderId="6" xfId="0" applyNumberFormat="1" applyFont="1" applyFill="1" applyBorder="1" applyAlignment="1">
      <alignment horizontal="left" vertical="center" wrapText="1" indent="6"/>
    </xf>
    <xf numFmtId="4" fontId="5" fillId="10" borderId="6" xfId="0" applyNumberFormat="1" applyFont="1" applyFill="1" applyBorder="1" applyAlignment="1">
      <alignment horizontal="right" vertical="center" wrapText="1"/>
    </xf>
    <xf numFmtId="4" fontId="29" fillId="10" borderId="6" xfId="0" applyNumberFormat="1" applyFont="1" applyFill="1" applyBorder="1" applyAlignment="1">
      <alignment horizontal="center" vertical="center" wrapText="1"/>
    </xf>
    <xf numFmtId="4" fontId="5" fillId="10" borderId="4" xfId="0" applyNumberFormat="1" applyFont="1" applyFill="1" applyBorder="1" applyAlignment="1">
      <alignment horizontal="right" vertical="center" wrapText="1"/>
    </xf>
    <xf numFmtId="4" fontId="29" fillId="10" borderId="4" xfId="0" applyNumberFormat="1" applyFont="1" applyFill="1" applyBorder="1" applyAlignment="1">
      <alignment horizontal="center" vertical="center" wrapText="1"/>
    </xf>
    <xf numFmtId="166" fontId="5" fillId="10" borderId="4" xfId="0" applyNumberFormat="1" applyFont="1" applyFill="1" applyBorder="1" applyAlignment="1">
      <alignment horizontal="right" vertical="center" wrapText="1"/>
    </xf>
    <xf numFmtId="0" fontId="5" fillId="13" borderId="3" xfId="0" applyNumberFormat="1" applyFont="1" applyFill="1" applyBorder="1" applyAlignment="1">
      <alignment horizontal="left" vertical="center" wrapText="1" indent="1"/>
    </xf>
    <xf numFmtId="0" fontId="29" fillId="0" borderId="3" xfId="0" applyNumberFormat="1" applyFont="1" applyBorder="1" applyAlignment="1">
      <alignment horizontal="left" vertical="center" wrapText="1" indent="5"/>
    </xf>
    <xf numFmtId="49" fontId="54" fillId="0" borderId="15" xfId="0" applyNumberFormat="1" applyFont="1" applyBorder="1">
      <alignment vertical="top"/>
    </xf>
    <xf numFmtId="49" fontId="29" fillId="0" borderId="15" xfId="0" applyNumberFormat="1" applyFont="1" applyBorder="1">
      <alignment vertical="top"/>
    </xf>
    <xf numFmtId="0" fontId="5" fillId="0" borderId="3" xfId="0" applyNumberFormat="1" applyFont="1" applyBorder="1" applyAlignment="1">
      <alignment horizontal="left" vertical="center" wrapText="1" indent="1"/>
    </xf>
    <xf numFmtId="4" fontId="29" fillId="0" borderId="3" xfId="0" applyNumberFormat="1" applyFont="1" applyBorder="1" applyAlignment="1">
      <alignment horizontal="right" vertical="center" wrapText="1"/>
    </xf>
    <xf numFmtId="166" fontId="29" fillId="0" borderId="3" xfId="0" applyNumberFormat="1" applyFont="1" applyBorder="1" applyAlignment="1">
      <alignment horizontal="right" vertical="center" wrapText="1"/>
    </xf>
    <xf numFmtId="166" fontId="5" fillId="9" borderId="5" xfId="0" applyNumberFormat="1" applyFont="1" applyFill="1" applyBorder="1" applyAlignment="1" applyProtection="1">
      <alignment horizontal="right" vertical="center" wrapText="1"/>
      <protection locked="0"/>
    </xf>
    <xf numFmtId="4" fontId="29" fillId="0" borderId="5" xfId="0" applyNumberFormat="1" applyFont="1" applyBorder="1" applyAlignment="1">
      <alignment horizontal="center" vertical="center" wrapText="1"/>
    </xf>
    <xf numFmtId="4" fontId="5" fillId="9" borderId="4" xfId="0" applyNumberFormat="1" applyFont="1" applyFill="1" applyBorder="1" applyAlignment="1" applyProtection="1">
      <alignment horizontal="right" vertical="center" wrapText="1"/>
      <protection locked="0"/>
    </xf>
    <xf numFmtId="49" fontId="5" fillId="10" borderId="18" xfId="0" applyNumberFormat="1" applyFont="1" applyFill="1" applyBorder="1" applyAlignment="1">
      <alignment horizontal="center" vertical="center" wrapText="1"/>
    </xf>
    <xf numFmtId="49" fontId="28" fillId="0" borderId="0" xfId="0" applyNumberFormat="1" applyFont="1" applyAlignment="1">
      <alignment vertical="center" wrapText="1"/>
    </xf>
    <xf numFmtId="0" fontId="28" fillId="0" borderId="0" xfId="0" applyNumberFormat="1" applyFont="1" applyAlignment="1">
      <alignment horizontal="center" vertical="center" wrapText="1"/>
    </xf>
    <xf numFmtId="0" fontId="38" fillId="8" borderId="0" xfId="0" applyNumberFormat="1" applyFont="1" applyFill="1" applyAlignment="1">
      <alignment horizontal="center" vertical="center" wrapText="1"/>
    </xf>
    <xf numFmtId="0" fontId="38" fillId="0" borderId="0" xfId="0" applyNumberFormat="1" applyFont="1" applyAlignment="1">
      <alignment vertical="center" wrapText="1"/>
    </xf>
    <xf numFmtId="0" fontId="29" fillId="0" borderId="0" xfId="0" applyNumberFormat="1" applyFont="1" applyAlignment="1">
      <alignment vertical="center"/>
    </xf>
    <xf numFmtId="0" fontId="30" fillId="0" borderId="0" xfId="0" applyNumberFormat="1" applyFont="1" applyAlignment="1">
      <alignment vertical="center"/>
    </xf>
    <xf numFmtId="0" fontId="29" fillId="0" borderId="0" xfId="0" applyNumberFormat="1" applyFont="1" applyAlignment="1">
      <alignment vertical="center"/>
    </xf>
    <xf numFmtId="0" fontId="29" fillId="0" borderId="0" xfId="0" applyNumberFormat="1" applyFont="1" applyAlignment="1">
      <alignment vertical="center"/>
    </xf>
    <xf numFmtId="0" fontId="0" fillId="0" borderId="0" xfId="0" applyNumberFormat="1" applyFont="1" applyAlignment="1">
      <alignment vertical="center"/>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10"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0" borderId="0" xfId="0" applyNumberFormat="1" applyFont="1" applyAlignment="1">
      <alignment horizontal="center" vertical="top"/>
    </xf>
    <xf numFmtId="49" fontId="13" fillId="0" borderId="0" xfId="0" applyNumberFormat="1" applyFont="1" applyAlignment="1">
      <alignment horizontal="center" vertical="center"/>
    </xf>
    <xf numFmtId="0" fontId="0" fillId="0" borderId="0" xfId="0" applyNumberFormat="1" applyFont="1" applyAlignment="1">
      <alignment horizontal="left" vertical="center"/>
    </xf>
    <xf numFmtId="0" fontId="36" fillId="0" borderId="0" xfId="0" applyNumberFormat="1" applyFont="1" applyAlignment="1">
      <alignment horizontal="left" vertical="center"/>
    </xf>
    <xf numFmtId="49" fontId="0" fillId="0" borderId="0" xfId="0" applyNumberFormat="1" applyFont="1" applyAlignment="1">
      <alignment vertical="center"/>
    </xf>
    <xf numFmtId="0" fontId="0" fillId="0" borderId="0" xfId="0" applyNumberFormat="1" applyFont="1" applyAlignment="1">
      <alignment horizontal="right" vertical="top"/>
    </xf>
    <xf numFmtId="0" fontId="21" fillId="10" borderId="20" xfId="0" applyNumberFormat="1" applyFont="1" applyFill="1" applyBorder="1" applyAlignment="1">
      <alignment horizontal="left" vertical="center"/>
    </xf>
    <xf numFmtId="49" fontId="29" fillId="0" borderId="5" xfId="0" applyNumberFormat="1" applyFont="1" applyBorder="1" applyAlignment="1">
      <alignment horizontal="left" vertical="center" wrapText="1"/>
    </xf>
    <xf numFmtId="0" fontId="29" fillId="0" borderId="5" xfId="0" applyNumberFormat="1" applyFont="1" applyBorder="1" applyAlignment="1">
      <alignment horizontal="left" vertical="center"/>
    </xf>
    <xf numFmtId="0" fontId="29" fillId="0" borderId="6" xfId="0" applyNumberFormat="1" applyFont="1" applyBorder="1" applyAlignment="1">
      <alignment horizontal="left" vertical="center"/>
    </xf>
    <xf numFmtId="49" fontId="5" fillId="9" borderId="3" xfId="0" applyNumberFormat="1" applyFont="1" applyFill="1" applyBorder="1" applyAlignment="1" applyProtection="1">
      <alignment horizontal="left" vertical="center" wrapText="1" indent="6"/>
      <protection locked="0"/>
    </xf>
    <xf numFmtId="4" fontId="5" fillId="0" borderId="28" xfId="0" applyNumberFormat="1" applyFont="1" applyBorder="1" applyAlignment="1">
      <alignment horizontal="right" vertical="center" wrapText="1"/>
    </xf>
    <xf numFmtId="4" fontId="5" fillId="0" borderId="21" xfId="0" applyNumberFormat="1" applyFont="1" applyBorder="1" applyAlignment="1">
      <alignment horizontal="right" vertical="center" wrapText="1"/>
    </xf>
    <xf numFmtId="49" fontId="0" fillId="10" borderId="20" xfId="0" applyNumberFormat="1" applyFont="1" applyFill="1" applyBorder="1" applyAlignment="1">
      <alignment horizontal="center" vertical="center" wrapText="1"/>
    </xf>
    <xf numFmtId="0" fontId="0" fillId="0" borderId="0" xfId="0" applyNumberFormat="1" applyFont="1" applyAlignment="1">
      <alignment vertical="center"/>
    </xf>
    <xf numFmtId="0" fontId="92" fillId="0" borderId="0" xfId="0" applyNumberFormat="1" applyFont="1" applyAlignment="1">
      <alignmen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49" fontId="5" fillId="13" borderId="3" xfId="0" applyNumberFormat="1" applyFont="1" applyFill="1" applyBorder="1" applyAlignment="1">
      <alignment horizontal="center" vertical="center" wrapText="1"/>
    </xf>
    <xf numFmtId="49" fontId="29"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9" fillId="0" borderId="0" xfId="0" applyNumberFormat="1" applyFont="1" applyAlignment="1">
      <alignment horizontal="center" vertical="center" wrapText="1"/>
    </xf>
    <xf numFmtId="49" fontId="5" fillId="8" borderId="3" xfId="0" applyNumberFormat="1" applyFont="1" applyFill="1" applyBorder="1" applyAlignment="1">
      <alignment horizontal="center" vertical="center" wrapText="1"/>
    </xf>
    <xf numFmtId="0" fontId="29" fillId="0" borderId="0" xfId="0" applyNumberFormat="1" applyFont="1" applyAlignment="1">
      <alignment horizontal="center" vertical="center"/>
    </xf>
    <xf numFmtId="0" fontId="5" fillId="8"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0" fillId="0" borderId="0" xfId="0" applyNumberFormat="1" applyFont="1" applyAlignment="1">
      <alignment vertical="center"/>
    </xf>
    <xf numFmtId="0" fontId="5" fillId="0" borderId="0" xfId="0" applyNumberFormat="1" applyFont="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49" fontId="5" fillId="0" borderId="0" xfId="0" applyNumberFormat="1" applyFont="1" applyAlignment="1">
      <alignment vertical="center" wrapText="1"/>
    </xf>
    <xf numFmtId="49" fontId="5" fillId="8" borderId="3" xfId="0" applyNumberFormat="1" applyFont="1" applyFill="1" applyBorder="1" applyAlignment="1">
      <alignment horizontal="center" vertical="center" wrapText="1"/>
    </xf>
    <xf numFmtId="0" fontId="29" fillId="8" borderId="0" xfId="0" applyNumberFormat="1" applyFont="1" applyFill="1" applyAlignment="1">
      <alignment horizontal="center" vertical="center" wrapText="1"/>
    </xf>
    <xf numFmtId="0" fontId="0" fillId="8" borderId="3" xfId="0" applyNumberFormat="1" applyFont="1" applyFill="1" applyBorder="1" applyAlignment="1">
      <alignment horizontal="center" vertical="center" wrapText="1"/>
    </xf>
    <xf numFmtId="0" fontId="5" fillId="8" borderId="15"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8" borderId="3" xfId="0" applyNumberFormat="1" applyFont="1" applyFill="1" applyBorder="1" applyAlignment="1">
      <alignment horizontal="center"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0" fontId="62" fillId="8" borderId="10" xfId="0" applyNumberFormat="1" applyFont="1" applyFill="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8" borderId="3" xfId="0" applyNumberFormat="1" applyFont="1" applyFill="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0"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49" fontId="5" fillId="13"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center" wrapText="1" indent="1"/>
      <protection locked="0"/>
    </xf>
    <xf numFmtId="0" fontId="5" fillId="8" borderId="3" xfId="0" applyNumberFormat="1" applyFont="1" applyFill="1" applyBorder="1" applyAlignment="1">
      <alignment horizontal="left" vertical="center" wrapText="1"/>
    </xf>
    <xf numFmtId="0" fontId="29" fillId="0" borderId="0" xfId="0" applyNumberFormat="1" applyFont="1" applyAlignment="1">
      <alignment horizontal="center" vertical="center"/>
    </xf>
    <xf numFmtId="0" fontId="18" fillId="0" borderId="0" xfId="0" applyNumberFormat="1" applyFont="1" applyAlignment="1">
      <alignment horizontal="center" vertical="center" wrapText="1"/>
    </xf>
    <xf numFmtId="166" fontId="5" fillId="10" borderId="6" xfId="0" applyNumberFormat="1" applyFont="1" applyFill="1" applyBorder="1" applyAlignment="1">
      <alignment horizontal="right" vertical="center" wrapText="1"/>
    </xf>
    <xf numFmtId="0" fontId="93" fillId="0" borderId="0" xfId="0" applyNumberFormat="1" applyFont="1" applyAlignment="1">
      <alignment vertical="center" wrapText="1"/>
    </xf>
    <xf numFmtId="0" fontId="93" fillId="8" borderId="0" xfId="0" applyNumberFormat="1" applyFont="1" applyFill="1" applyAlignment="1">
      <alignment horizontal="center" vertical="center" wrapText="1"/>
    </xf>
    <xf numFmtId="0" fontId="29" fillId="8" borderId="3" xfId="0" applyNumberFormat="1" applyFont="1" applyFill="1" applyBorder="1" applyAlignment="1">
      <alignment horizontal="left" vertical="center" wrapText="1" indent="3"/>
    </xf>
    <xf numFmtId="49" fontId="21" fillId="10" borderId="18" xfId="0" applyNumberFormat="1" applyFont="1" applyFill="1" applyBorder="1" applyAlignment="1">
      <alignment horizontal="left" vertical="center"/>
    </xf>
    <xf numFmtId="0" fontId="93" fillId="0" borderId="0" xfId="0" applyNumberFormat="1" applyFont="1" applyAlignment="1">
      <alignment horizontal="center" vertical="center" wrapText="1"/>
    </xf>
    <xf numFmtId="49" fontId="29" fillId="0" borderId="0" xfId="0" applyNumberFormat="1" applyFont="1" applyAlignment="1">
      <alignment horizontal="left" vertical="center" wrapText="1" indent="1"/>
    </xf>
    <xf numFmtId="0" fontId="29" fillId="0" borderId="0" xfId="0" applyNumberFormat="1" applyFont="1" applyAlignment="1">
      <alignment horizontal="left" vertical="center" wrapText="1" indent="4"/>
    </xf>
    <xf numFmtId="0" fontId="29" fillId="0" borderId="0" xfId="0" applyNumberFormat="1" applyFont="1" applyAlignment="1">
      <alignment horizontal="left" vertical="center" wrapText="1" indent="1"/>
    </xf>
    <xf numFmtId="49" fontId="5" fillId="10" borderId="5" xfId="0" applyNumberFormat="1" applyFont="1" applyFill="1" applyBorder="1" applyAlignment="1">
      <alignment horizontal="center" vertical="center" wrapText="1"/>
    </xf>
    <xf numFmtId="0" fontId="29" fillId="0" borderId="15" xfId="0" applyNumberFormat="1" applyFont="1" applyBorder="1" applyAlignment="1">
      <alignment horizontal="left" vertical="center" wrapText="1" indent="1"/>
    </xf>
    <xf numFmtId="0" fontId="28" fillId="0" borderId="0" xfId="0" applyNumberFormat="1" applyFont="1" applyAlignment="1">
      <alignment horizontal="left" vertical="center"/>
    </xf>
    <xf numFmtId="49" fontId="28" fillId="0" borderId="0" xfId="0" applyNumberFormat="1" applyFont="1" applyAlignment="1">
      <alignment horizontal="left" vertical="center"/>
    </xf>
    <xf numFmtId="0" fontId="28" fillId="0" borderId="0" xfId="0" applyNumberFormat="1" applyFont="1" applyAlignment="1">
      <alignment horizontal="left" vertical="center"/>
    </xf>
    <xf numFmtId="0" fontId="51" fillId="0" borderId="0" xfId="0" applyNumberFormat="1" applyFont="1" applyAlignment="1">
      <alignment horizontal="left" vertical="center"/>
    </xf>
    <xf numFmtId="0" fontId="29" fillId="0" borderId="0" xfId="0" applyNumberFormat="1" applyFont="1" applyAlignment="1">
      <alignment horizontal="left" vertical="center"/>
    </xf>
    <xf numFmtId="49" fontId="5" fillId="0" borderId="0" xfId="0" applyNumberFormat="1" applyFont="1" applyAlignment="1">
      <alignment horizontal="center" vertical="center" wrapText="1"/>
    </xf>
    <xf numFmtId="49" fontId="5" fillId="0" borderId="10" xfId="0" applyNumberFormat="1" applyFont="1" applyBorder="1" applyAlignment="1">
      <alignment horizontal="center" vertical="center" wrapText="1"/>
    </xf>
    <xf numFmtId="49" fontId="5" fillId="0" borderId="10" xfId="0" applyNumberFormat="1" applyFont="1" applyBorder="1" applyAlignment="1">
      <alignment horizontal="left" vertical="center" wrapText="1"/>
    </xf>
    <xf numFmtId="0" fontId="18" fillId="0" borderId="0" xfId="0" applyNumberFormat="1" applyFont="1" applyAlignment="1">
      <alignment horizontal="center" vertical="center" wrapText="1"/>
    </xf>
    <xf numFmtId="0" fontId="18" fillId="8" borderId="0" xfId="0" applyNumberFormat="1" applyFont="1" applyFill="1" applyAlignment="1">
      <alignment horizontal="center" vertical="center" wrapText="1"/>
    </xf>
    <xf numFmtId="49" fontId="28" fillId="0" borderId="0" xfId="0" applyNumberFormat="1" applyFont="1" applyAlignment="1">
      <alignment horizontal="left" vertical="center"/>
    </xf>
    <xf numFmtId="49" fontId="28" fillId="0" borderId="0" xfId="0" applyNumberFormat="1" applyFont="1" applyAlignment="1">
      <alignment horizontal="left" vertical="center"/>
    </xf>
    <xf numFmtId="49" fontId="28" fillId="0" borderId="0" xfId="0" applyNumberFormat="1" applyFont="1" applyAlignment="1">
      <alignment horizontal="left" vertical="top"/>
    </xf>
    <xf numFmtId="49" fontId="5" fillId="8" borderId="3" xfId="0" applyNumberFormat="1" applyFont="1" applyFill="1" applyBorder="1" applyAlignment="1">
      <alignment horizontal="center" vertical="center"/>
    </xf>
    <xf numFmtId="0" fontId="5" fillId="0" borderId="3"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indent="1"/>
    </xf>
    <xf numFmtId="49" fontId="5" fillId="0" borderId="3" xfId="0" applyNumberFormat="1" applyFont="1" applyBorder="1" applyAlignment="1">
      <alignment horizontal="center" vertical="center"/>
    </xf>
    <xf numFmtId="0" fontId="5" fillId="0" borderId="3" xfId="0" applyNumberFormat="1" applyFont="1" applyBorder="1" applyAlignment="1">
      <alignment horizontal="left" vertical="center" wrapText="1" indent="1"/>
    </xf>
    <xf numFmtId="0" fontId="5" fillId="0" borderId="3" xfId="0" applyNumberFormat="1" applyFont="1" applyBorder="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5" fillId="8" borderId="3" xfId="0" applyNumberFormat="1" applyFont="1" applyFill="1" applyBorder="1" applyAlignment="1">
      <alignment horizontal="left" vertical="center" wrapText="1"/>
    </xf>
    <xf numFmtId="0" fontId="29" fillId="8" borderId="3" xfId="0" applyNumberFormat="1" applyFont="1" applyFill="1" applyBorder="1" applyAlignment="1">
      <alignment horizontal="center" vertical="center"/>
    </xf>
    <xf numFmtId="0" fontId="54" fillId="8" borderId="0" xfId="0" applyNumberFormat="1" applyFont="1" applyFill="1" applyAlignment="1">
      <alignment vertical="center" wrapText="1"/>
    </xf>
    <xf numFmtId="0" fontId="49" fillId="8" borderId="0" xfId="0" applyNumberFormat="1" applyFont="1" applyFill="1" applyAlignment="1"/>
    <xf numFmtId="49" fontId="5" fillId="9" borderId="3" xfId="0" applyNumberFormat="1" applyFont="1" applyFill="1" applyBorder="1" applyAlignment="1" applyProtection="1">
      <alignment horizontal="left" vertical="center" wrapText="1"/>
      <protection locked="0"/>
    </xf>
    <xf numFmtId="0" fontId="66" fillId="8" borderId="0" xfId="0" applyNumberFormat="1" applyFont="1" applyFill="1" applyAlignment="1"/>
    <xf numFmtId="0" fontId="50" fillId="8" borderId="0" xfId="0" applyNumberFormat="1" applyFont="1" applyFill="1" applyAlignment="1"/>
    <xf numFmtId="14" fontId="5" fillId="12" borderId="14" xfId="0" applyNumberFormat="1" applyFont="1" applyFill="1" applyBorder="1" applyAlignment="1" applyProtection="1">
      <alignment horizontal="left" vertical="center" wrapText="1" indent="1"/>
      <protection locked="0"/>
    </xf>
    <xf numFmtId="0" fontId="94" fillId="0" borderId="0" xfId="0" applyNumberFormat="1" applyFont="1" applyAlignment="1">
      <alignment vertical="center"/>
    </xf>
    <xf numFmtId="0" fontId="94" fillId="0" borderId="0" xfId="0" applyNumberFormat="1" applyFont="1" applyAlignment="1">
      <alignment vertical="center" wrapText="1"/>
    </xf>
    <xf numFmtId="169" fontId="5" fillId="0" borderId="14" xfId="0" applyNumberFormat="1" applyFont="1" applyBorder="1" applyAlignment="1">
      <alignment horizontal="center" vertical="center" wrapText="1"/>
    </xf>
    <xf numFmtId="14" fontId="5" fillId="12" borderId="3" xfId="0" applyNumberFormat="1" applyFont="1" applyFill="1" applyBorder="1" applyAlignment="1" applyProtection="1">
      <alignment horizontal="left" vertical="center" wrapText="1" indent="1"/>
      <protection locked="0"/>
    </xf>
    <xf numFmtId="0" fontId="5" fillId="7" borderId="14" xfId="0" applyNumberFormat="1" applyFont="1" applyFill="1" applyBorder="1" applyAlignment="1">
      <alignment horizontal="left" vertical="center" wrapText="1" indent="1"/>
    </xf>
    <xf numFmtId="169" fontId="5" fillId="0" borderId="8" xfId="0" applyNumberFormat="1" applyFont="1" applyBorder="1" applyAlignment="1">
      <alignment horizontal="center" vertical="center" wrapText="1"/>
    </xf>
    <xf numFmtId="49" fontId="31" fillId="10" borderId="21" xfId="0" applyNumberFormat="1" applyFont="1" applyFill="1" applyBorder="1" applyAlignment="1">
      <alignment horizontal="right" vertical="center" wrapText="1"/>
    </xf>
    <xf numFmtId="49" fontId="0" fillId="10" borderId="18" xfId="0" applyNumberFormat="1" applyFont="1" applyFill="1" applyBorder="1" applyAlignment="1">
      <alignment horizontal="right" vertical="center" wrapText="1"/>
    </xf>
    <xf numFmtId="49" fontId="35" fillId="10" borderId="18" xfId="0" applyNumberFormat="1" applyFont="1" applyFill="1" applyBorder="1" applyAlignment="1">
      <alignment horizontal="left" vertical="center" wrapText="1"/>
    </xf>
    <xf numFmtId="0" fontId="29" fillId="0" borderId="18" xfId="0" applyNumberFormat="1" applyFont="1" applyBorder="1" applyAlignment="1">
      <alignment horizontal="center" vertical="center" wrapText="1"/>
    </xf>
    <xf numFmtId="0" fontId="29" fillId="0" borderId="0" xfId="0" applyNumberFormat="1" applyFont="1" applyAlignment="1">
      <alignment horizontal="center" vertical="center"/>
    </xf>
    <xf numFmtId="0" fontId="23" fillId="0" borderId="0" xfId="0" applyNumberFormat="1" applyFont="1" applyAlignment="1">
      <alignment horizontal="center" vertical="center" wrapText="1"/>
    </xf>
    <xf numFmtId="14" fontId="5" fillId="13" borderId="3" xfId="0" applyNumberFormat="1" applyFont="1" applyFill="1" applyBorder="1" applyAlignment="1">
      <alignment horizontal="left" vertical="center" wrapText="1"/>
    </xf>
    <xf numFmtId="169" fontId="5" fillId="0" borderId="28"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28" fillId="8" borderId="0" xfId="0" applyNumberFormat="1" applyFont="1" applyFill="1" applyAlignment="1"/>
    <xf numFmtId="0" fontId="5" fillId="0" borderId="6"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49" fontId="29" fillId="0" borderId="0" xfId="0" applyNumberFormat="1" applyFont="1" applyAlignment="1">
      <alignment horizontal="center" vertical="center"/>
    </xf>
    <xf numFmtId="49" fontId="49" fillId="0" borderId="0" xfId="0" applyNumberFormat="1" applyFont="1">
      <alignment vertical="top"/>
    </xf>
    <xf numFmtId="0" fontId="23" fillId="0" borderId="0" xfId="0" applyNumberFormat="1" applyFont="1" applyAlignment="1">
      <alignment vertical="center"/>
    </xf>
    <xf numFmtId="0" fontId="5" fillId="0" borderId="27"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49" fontId="5" fillId="0" borderId="27" xfId="0" applyNumberFormat="1" applyFont="1" applyBorder="1" applyAlignment="1">
      <alignment horizontal="left" vertical="center" wrapText="1"/>
    </xf>
    <xf numFmtId="49" fontId="5" fillId="0" borderId="27" xfId="0" applyNumberFormat="1" applyFont="1" applyBorder="1" applyAlignment="1">
      <alignment horizontal="center" vertical="center" wrapText="1"/>
    </xf>
    <xf numFmtId="49" fontId="5" fillId="0" borderId="8" xfId="0" applyNumberFormat="1" applyFont="1" applyBorder="1" applyAlignment="1">
      <alignment horizontal="center" vertical="center" wrapText="1"/>
    </xf>
    <xf numFmtId="0" fontId="5" fillId="0" borderId="27" xfId="0" applyNumberFormat="1" applyFont="1" applyBorder="1" applyAlignment="1">
      <alignment horizontal="left" vertical="center" wrapText="1"/>
    </xf>
    <xf numFmtId="49" fontId="5" fillId="0" borderId="27" xfId="0" applyNumberFormat="1" applyFont="1" applyBorder="1" applyAlignment="1">
      <alignment vertical="center" wrapText="1"/>
    </xf>
    <xf numFmtId="0" fontId="5" fillId="0" borderId="14" xfId="0" applyNumberFormat="1" applyFont="1" applyBorder="1" applyAlignment="1">
      <alignment horizontal="left" vertical="center" wrapText="1"/>
    </xf>
    <xf numFmtId="0" fontId="21" fillId="0" borderId="14" xfId="0" applyNumberFormat="1" applyFont="1" applyBorder="1" applyAlignment="1">
      <alignment horizontal="left" vertical="center"/>
    </xf>
    <xf numFmtId="0" fontId="21" fillId="10" borderId="5" xfId="0" applyNumberFormat="1" applyFont="1" applyFill="1" applyBorder="1" applyAlignment="1">
      <alignment horizontal="left" vertical="center"/>
    </xf>
    <xf numFmtId="0" fontId="21" fillId="0" borderId="27" xfId="0" applyNumberFormat="1" applyFont="1" applyBorder="1" applyAlignment="1">
      <alignment horizontal="left" vertical="center"/>
    </xf>
    <xf numFmtId="0" fontId="21" fillId="10" borderId="28" xfId="0" applyNumberFormat="1" applyFont="1" applyFill="1" applyBorder="1" applyAlignment="1">
      <alignment horizontal="left" vertical="center"/>
    </xf>
    <xf numFmtId="49" fontId="49" fillId="10" borderId="5" xfId="0" applyNumberFormat="1" applyFont="1" applyFill="1" applyBorder="1">
      <alignment vertical="top"/>
    </xf>
    <xf numFmtId="49" fontId="49" fillId="10" borderId="6" xfId="0" applyNumberFormat="1" applyFont="1" applyFill="1" applyBorder="1">
      <alignment vertical="top"/>
    </xf>
    <xf numFmtId="49" fontId="5" fillId="13" borderId="8" xfId="0" applyNumberFormat="1" applyFont="1" applyFill="1" applyBorder="1" applyAlignment="1">
      <alignment vertical="center" wrapText="1"/>
    </xf>
    <xf numFmtId="0" fontId="5" fillId="0" borderId="28" xfId="0" applyNumberFormat="1" applyFont="1" applyBorder="1" applyAlignment="1">
      <alignment horizontal="center" vertical="center" wrapText="1"/>
    </xf>
    <xf numFmtId="49" fontId="0" fillId="0" borderId="0" xfId="0" applyNumberFormat="1" applyFont="1">
      <alignment vertical="top"/>
    </xf>
    <xf numFmtId="49" fontId="28" fillId="0" borderId="0" xfId="0" applyNumberFormat="1" applyFont="1" applyAlignment="1">
      <alignment horizontal="center" vertical="center"/>
    </xf>
    <xf numFmtId="0" fontId="95" fillId="0" borderId="0" xfId="0" applyNumberFormat="1" applyFont="1" applyAlignment="1">
      <alignment vertical="center" wrapText="1"/>
    </xf>
    <xf numFmtId="0" fontId="96" fillId="0" borderId="0" xfId="0" applyNumberFormat="1" applyFont="1" applyAlignment="1">
      <alignment vertical="center" wrapText="1"/>
    </xf>
    <xf numFmtId="0" fontId="5" fillId="0" borderId="8" xfId="0" applyNumberFormat="1" applyFont="1" applyBorder="1" applyAlignment="1">
      <alignment horizontal="center"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left" vertical="center" wrapText="1"/>
    </xf>
    <xf numFmtId="49"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5" fillId="0" borderId="0" xfId="0" applyNumberFormat="1" applyFont="1" applyAlignment="1">
      <alignment horizontal="left" vertical="center" wrapText="1"/>
    </xf>
    <xf numFmtId="49" fontId="5" fillId="0" borderId="10" xfId="0" applyNumberFormat="1" applyFont="1" applyBorder="1" applyAlignment="1">
      <alignment vertical="center" wrapText="1"/>
    </xf>
    <xf numFmtId="49" fontId="5" fillId="0" borderId="10" xfId="0" applyNumberFormat="1" applyFont="1" applyBorder="1" applyAlignment="1">
      <alignment horizontal="left" vertical="center" wrapText="1"/>
    </xf>
    <xf numFmtId="49" fontId="18" fillId="0" borderId="10" xfId="0" applyNumberFormat="1" applyFont="1" applyBorder="1" applyAlignment="1">
      <alignment vertical="center" wrapText="1"/>
    </xf>
    <xf numFmtId="49" fontId="5" fillId="0" borderId="10" xfId="0" applyNumberFormat="1" applyFont="1" applyBorder="1" applyAlignment="1">
      <alignment horizontal="center" vertical="center" wrapText="1"/>
    </xf>
    <xf numFmtId="0" fontId="5" fillId="0" borderId="10" xfId="0" applyNumberFormat="1" applyFont="1" applyBorder="1" applyAlignment="1">
      <alignment horizontal="left" vertical="center" wrapText="1"/>
    </xf>
    <xf numFmtId="49" fontId="5" fillId="0" borderId="10" xfId="0" applyNumberFormat="1" applyFont="1" applyBorder="1" applyAlignment="1">
      <alignment vertical="center" wrapText="1"/>
    </xf>
    <xf numFmtId="49" fontId="5" fillId="0" borderId="0" xfId="0" applyNumberFormat="1" applyFont="1" applyAlignment="1">
      <alignment vertical="center" wrapText="1"/>
    </xf>
    <xf numFmtId="49" fontId="5" fillId="0" borderId="0" xfId="0" applyNumberFormat="1" applyFont="1" applyAlignment="1">
      <alignment horizontal="left" vertical="center" wrapText="1"/>
    </xf>
    <xf numFmtId="49" fontId="18" fillId="0" borderId="0" xfId="0" applyNumberFormat="1" applyFont="1" applyAlignment="1">
      <alignment vertical="center" wrapText="1"/>
    </xf>
    <xf numFmtId="49" fontId="5" fillId="0" borderId="0" xfId="0" applyNumberFormat="1" applyFont="1" applyAlignment="1">
      <alignment horizontal="center" vertical="center" wrapText="1"/>
    </xf>
    <xf numFmtId="0" fontId="5" fillId="0" borderId="0" xfId="0" applyNumberFormat="1" applyFont="1" applyAlignment="1">
      <alignment horizontal="left" vertical="center" wrapText="1"/>
    </xf>
    <xf numFmtId="0" fontId="21" fillId="0" borderId="0" xfId="0" applyNumberFormat="1" applyFont="1" applyAlignment="1">
      <alignment horizontal="left" vertical="center"/>
    </xf>
    <xf numFmtId="49" fontId="18" fillId="0" borderId="0" xfId="0" applyNumberFormat="1" applyFont="1" applyAlignment="1">
      <alignment horizontal="center" vertical="center" wrapText="1"/>
    </xf>
    <xf numFmtId="0" fontId="21" fillId="0" borderId="0" xfId="0" applyNumberFormat="1" applyFont="1" applyAlignment="1">
      <alignment vertical="center"/>
    </xf>
    <xf numFmtId="49" fontId="49" fillId="0" borderId="21" xfId="0" applyNumberFormat="1" applyFont="1" applyBorder="1">
      <alignment vertical="top"/>
    </xf>
    <xf numFmtId="49" fontId="5" fillId="0" borderId="28" xfId="0" applyNumberFormat="1" applyFont="1" applyBorder="1" applyAlignment="1">
      <alignment vertical="center" wrapText="1"/>
    </xf>
    <xf numFmtId="49" fontId="5" fillId="0" borderId="13" xfId="0" applyNumberFormat="1" applyFont="1" applyBorder="1" applyAlignment="1">
      <alignment vertical="center" wrapText="1"/>
    </xf>
    <xf numFmtId="0" fontId="21" fillId="0" borderId="13" xfId="0" applyNumberFormat="1" applyFont="1" applyBorder="1" applyAlignment="1">
      <alignment horizontal="left" vertical="center"/>
    </xf>
    <xf numFmtId="49" fontId="49" fillId="0" borderId="18" xfId="0" applyNumberFormat="1" applyFont="1" applyBorder="1">
      <alignment vertical="top"/>
    </xf>
    <xf numFmtId="49" fontId="5" fillId="0" borderId="27" xfId="0" applyNumberFormat="1" applyFont="1" applyBorder="1" applyAlignment="1">
      <alignment horizontal="center" vertical="center" wrapText="1"/>
    </xf>
    <xf numFmtId="0" fontId="21" fillId="10" borderId="28" xfId="0" applyNumberFormat="1" applyFont="1" applyFill="1" applyBorder="1" applyAlignment="1">
      <alignment vertical="center"/>
    </xf>
    <xf numFmtId="49" fontId="0" fillId="0" borderId="3" xfId="0" applyNumberFormat="1" applyFont="1" applyBorder="1" applyAlignment="1">
      <alignment horizontal="left" vertical="center" wrapText="1" indent="1"/>
    </xf>
    <xf numFmtId="49" fontId="0" fillId="0" borderId="0" xfId="0" applyNumberFormat="1" applyFont="1">
      <alignment vertical="top"/>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23" fillId="0" borderId="0" xfId="0" applyNumberFormat="1" applyFont="1" applyAlignment="1">
      <alignment vertical="center" wrapText="1"/>
    </xf>
    <xf numFmtId="0" fontId="5" fillId="0" borderId="0" xfId="0" applyNumberFormat="1" applyFont="1" applyAlignment="1">
      <alignment horizontal="left" vertical="center" wrapText="1"/>
    </xf>
    <xf numFmtId="0" fontId="40" fillId="0" borderId="0" xfId="0" applyNumberFormat="1" applyFont="1" applyAlignment="1">
      <alignment vertical="center" wrapText="1"/>
    </xf>
    <xf numFmtId="0" fontId="42" fillId="0" borderId="0" xfId="0" applyNumberFormat="1" applyFont="1" applyAlignment="1">
      <alignment vertical="center" wrapText="1"/>
    </xf>
    <xf numFmtId="0" fontId="70" fillId="0" borderId="0" xfId="0" applyNumberFormat="1" applyFont="1" applyAlignment="1">
      <alignment vertical="center" wrapText="1"/>
    </xf>
    <xf numFmtId="0" fontId="29" fillId="0" borderId="0" xfId="0" applyNumberFormat="1" applyFont="1" applyAlignment="1">
      <alignment vertical="center" wrapText="1"/>
    </xf>
    <xf numFmtId="0" fontId="46" fillId="0" borderId="0" xfId="0" applyNumberFormat="1" applyFont="1" applyAlignment="1">
      <alignment vertical="center" wrapText="1"/>
    </xf>
    <xf numFmtId="49" fontId="5" fillId="0" borderId="3" xfId="0" applyNumberFormat="1" applyFont="1" applyBorder="1" applyAlignment="1">
      <alignment horizontal="center" vertical="center" wrapText="1"/>
    </xf>
    <xf numFmtId="0" fontId="18" fillId="8" borderId="3" xfId="0" applyNumberFormat="1" applyFont="1" applyFill="1" applyBorder="1" applyAlignment="1">
      <alignment horizontal="center" vertical="center" wrapText="1"/>
    </xf>
    <xf numFmtId="0" fontId="5" fillId="0" borderId="0" xfId="0" applyNumberFormat="1" applyFont="1" applyAlignment="1">
      <alignment vertical="center" wrapText="1"/>
    </xf>
    <xf numFmtId="0" fontId="18" fillId="8" borderId="0" xfId="0" applyNumberFormat="1" applyFont="1" applyFill="1" applyAlignment="1">
      <alignment horizontal="center" vertical="center" wrapText="1"/>
    </xf>
    <xf numFmtId="49" fontId="5" fillId="0" borderId="3" xfId="0" applyNumberFormat="1" applyFont="1" applyBorder="1" applyAlignment="1">
      <alignment horizontal="center" vertical="center" wrapText="1"/>
    </xf>
    <xf numFmtId="3" fontId="5" fillId="12" borderId="3" xfId="0" applyNumberFormat="1" applyFont="1" applyFill="1" applyBorder="1" applyAlignment="1" applyProtection="1">
      <alignment horizontal="right" vertical="center" wrapText="1"/>
      <protection locked="0"/>
    </xf>
    <xf numFmtId="0" fontId="29" fillId="0" borderId="0" xfId="0" applyNumberFormat="1" applyFont="1" applyAlignment="1">
      <alignment vertical="center" wrapText="1"/>
    </xf>
    <xf numFmtId="49" fontId="5" fillId="12" borderId="3" xfId="0" applyNumberFormat="1" applyFont="1" applyFill="1" applyBorder="1" applyAlignment="1" applyProtection="1">
      <alignment horizontal="left" vertical="center" wrapText="1"/>
      <protection locked="0"/>
    </xf>
    <xf numFmtId="0" fontId="29" fillId="0" borderId="0" xfId="0" applyNumberFormat="1" applyFont="1" applyAlignment="1">
      <alignment vertical="center"/>
    </xf>
    <xf numFmtId="0" fontId="18" fillId="8" borderId="3" xfId="0" applyNumberFormat="1" applyFont="1" applyFill="1" applyBorder="1" applyAlignment="1">
      <alignment horizontal="center" vertical="center" wrapText="1"/>
    </xf>
    <xf numFmtId="0" fontId="28" fillId="0" borderId="13" xfId="0" applyNumberFormat="1" applyFont="1" applyBorder="1" applyAlignment="1">
      <alignment vertical="center"/>
    </xf>
    <xf numFmtId="0" fontId="28" fillId="0" borderId="13" xfId="0" applyNumberFormat="1" applyFont="1" applyBorder="1" applyAlignment="1">
      <alignment vertical="center"/>
    </xf>
    <xf numFmtId="0" fontId="5" fillId="0" borderId="8" xfId="0" applyNumberFormat="1" applyFont="1" applyBorder="1" applyAlignment="1">
      <alignment horizontal="left" vertical="center" wrapText="1" indent="1"/>
    </xf>
    <xf numFmtId="49" fontId="5" fillId="0" borderId="48" xfId="0" applyNumberFormat="1" applyFont="1" applyBorder="1" applyAlignment="1">
      <alignment horizontal="center" vertical="center" wrapText="1"/>
    </xf>
    <xf numFmtId="49" fontId="5" fillId="0" borderId="19" xfId="0" applyNumberFormat="1" applyFont="1" applyBorder="1" applyAlignment="1">
      <alignment horizontal="center" vertical="center" wrapText="1"/>
    </xf>
    <xf numFmtId="0" fontId="5" fillId="0" borderId="0" xfId="0" applyNumberFormat="1" applyFont="1" applyAlignment="1">
      <alignment vertical="center" wrapText="1"/>
    </xf>
    <xf numFmtId="0" fontId="13" fillId="0" borderId="0" xfId="0" applyNumberFormat="1" applyFont="1" applyAlignment="1">
      <alignment vertical="center" wrapText="1"/>
    </xf>
    <xf numFmtId="0" fontId="18"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5" fillId="0" borderId="0" xfId="0" applyNumberFormat="1" applyFont="1" applyAlignment="1">
      <alignment vertical="center" wrapText="1"/>
    </xf>
    <xf numFmtId="0" fontId="29" fillId="0" borderId="0" xfId="0" applyNumberFormat="1" applyFont="1" applyAlignment="1">
      <alignment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0" fontId="36" fillId="0" borderId="0" xfId="0" applyNumberFormat="1" applyFont="1" applyAlignment="1">
      <alignment vertical="center"/>
    </xf>
    <xf numFmtId="0" fontId="54" fillId="0" borderId="0" xfId="0" applyNumberFormat="1" applyFont="1" applyAlignment="1">
      <alignment vertical="center" wrapText="1"/>
    </xf>
    <xf numFmtId="0" fontId="29" fillId="0" borderId="0" xfId="0" applyNumberFormat="1" applyFont="1" applyAlignment="1">
      <alignment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xf>
    <xf numFmtId="0" fontId="5" fillId="0" borderId="3" xfId="0" applyNumberFormat="1" applyFont="1" applyBorder="1" applyAlignment="1">
      <alignment horizontal="left" vertical="center" wrapText="1" indent="2"/>
    </xf>
    <xf numFmtId="0" fontId="29" fillId="0" borderId="8"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3"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xf>
    <xf numFmtId="0" fontId="5" fillId="0" borderId="3" xfId="0" applyNumberFormat="1" applyFont="1" applyBorder="1" applyAlignment="1">
      <alignment horizontal="center" vertical="center" wrapText="1"/>
    </xf>
    <xf numFmtId="49" fontId="0" fillId="0" borderId="3" xfId="0" applyNumberFormat="1" applyFont="1" applyBorder="1" applyAlignment="1">
      <alignment vertical="center" wrapText="1"/>
    </xf>
    <xf numFmtId="0" fontId="29" fillId="0" borderId="5" xfId="0" applyNumberFormat="1" applyFont="1" applyBorder="1" applyAlignment="1">
      <alignment vertical="center" wrapText="1"/>
    </xf>
    <xf numFmtId="0" fontId="29" fillId="0" borderId="5" xfId="0" applyNumberFormat="1" applyFont="1" applyBorder="1" applyAlignment="1">
      <alignment horizontal="left" vertical="top" wrapText="1"/>
    </xf>
    <xf numFmtId="49" fontId="5" fillId="0" borderId="49"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49" fontId="21" fillId="10" borderId="10" xfId="0" applyNumberFormat="1" applyFont="1" applyFill="1" applyBorder="1" applyAlignment="1">
      <alignment horizontal="left" vertical="center" indent="2"/>
    </xf>
    <xf numFmtId="49" fontId="0" fillId="0" borderId="3" xfId="0" applyNumberFormat="1" applyFont="1" applyBorder="1" applyAlignment="1">
      <alignment horizontal="left" vertical="center" wrapText="1" indent="1"/>
    </xf>
    <xf numFmtId="49" fontId="0" fillId="0" borderId="3" xfId="0" applyNumberFormat="1" applyFont="1" applyBorder="1" applyAlignment="1">
      <alignment horizontal="left" vertical="center" wrapText="1" indent="2"/>
    </xf>
    <xf numFmtId="49" fontId="5" fillId="0" borderId="0" xfId="0" applyNumberFormat="1" applyFont="1" applyAlignment="1">
      <alignment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0" fillId="0" borderId="3" xfId="0" applyNumberFormat="1" applyFont="1" applyBorder="1" applyAlignment="1">
      <alignment horizontal="left" vertical="center" wrapText="1" indent="1"/>
    </xf>
    <xf numFmtId="49" fontId="0" fillId="8"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xf>
    <xf numFmtId="49" fontId="5" fillId="0" borderId="50" xfId="0" applyNumberFormat="1" applyFont="1" applyBorder="1" applyAlignment="1">
      <alignment horizontal="center" vertical="center" wrapText="1"/>
    </xf>
    <xf numFmtId="4" fontId="5" fillId="12" borderId="8" xfId="0" applyNumberFormat="1" applyFont="1" applyFill="1" applyBorder="1" applyAlignment="1" applyProtection="1">
      <alignment horizontal="right" vertical="center" wrapText="1"/>
      <protection locked="0"/>
    </xf>
    <xf numFmtId="49" fontId="21" fillId="0" borderId="10" xfId="0" applyNumberFormat="1" applyFont="1" applyBorder="1" applyAlignment="1">
      <alignment horizontal="left" vertical="center"/>
    </xf>
    <xf numFmtId="49" fontId="21" fillId="0" borderId="10" xfId="0" applyNumberFormat="1" applyFont="1" applyBorder="1" applyAlignment="1">
      <alignment horizontal="left" vertical="center" indent="2"/>
    </xf>
    <xf numFmtId="49" fontId="25" fillId="0" borderId="10" xfId="0" applyNumberFormat="1" applyFont="1" applyBorder="1" applyAlignment="1">
      <alignment horizontal="center" vertical="top"/>
    </xf>
    <xf numFmtId="0" fontId="5" fillId="0" borderId="10" xfId="0" applyNumberFormat="1" applyFont="1" applyBorder="1" applyAlignment="1">
      <alignment horizontal="left" vertical="top" wrapText="1"/>
    </xf>
    <xf numFmtId="0" fontId="5" fillId="0" borderId="0" xfId="0" applyNumberFormat="1" applyFont="1" applyAlignment="1">
      <alignment horizontal="right" vertical="top" wrapText="1"/>
    </xf>
    <xf numFmtId="49" fontId="0" fillId="12" borderId="3" xfId="0" applyNumberFormat="1" applyFont="1" applyFill="1" applyBorder="1" applyAlignment="1" applyProtection="1">
      <alignment horizontal="left" vertical="center" wrapText="1" indent="1"/>
      <protection locked="0"/>
    </xf>
    <xf numFmtId="49" fontId="28" fillId="0" borderId="0" xfId="0" applyNumberFormat="1" applyFont="1">
      <alignment vertical="top"/>
    </xf>
    <xf numFmtId="49"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0" fontId="5" fillId="8" borderId="0" xfId="0" applyNumberFormat="1" applyFont="1" applyFill="1" applyAlignment="1"/>
    <xf numFmtId="0" fontId="5" fillId="0" borderId="0" xfId="0" applyNumberFormat="1" applyFont="1" applyAlignment="1">
      <alignment vertical="top" wrapText="1"/>
    </xf>
    <xf numFmtId="0" fontId="18" fillId="8" borderId="0" xfId="0" applyNumberFormat="1" applyFont="1" applyFill="1" applyAlignment="1">
      <alignment horizontal="center" vertical="center" wrapText="1"/>
    </xf>
    <xf numFmtId="0" fontId="0" fillId="8" borderId="14" xfId="0" applyNumberFormat="1" applyFont="1" applyFill="1" applyBorder="1" applyAlignment="1">
      <alignment vertical="center" wrapText="1"/>
    </xf>
    <xf numFmtId="49" fontId="0" fillId="0" borderId="0" xfId="0" applyNumberFormat="1" applyFont="1">
      <alignment vertical="top"/>
    </xf>
    <xf numFmtId="0" fontId="0" fillId="0" borderId="0" xfId="0" applyNumberFormat="1" applyFont="1">
      <alignment vertical="top"/>
    </xf>
    <xf numFmtId="49" fontId="13" fillId="20" borderId="0" xfId="0" applyNumberFormat="1" applyFont="1" applyFill="1" applyAlignment="1">
      <alignment horizontal="center" vertical="center"/>
    </xf>
    <xf numFmtId="0" fontId="0" fillId="21" borderId="0" xfId="0" applyNumberFormat="1" applyFont="1" applyFill="1" applyAlignment="1">
      <alignment horizontal="left" vertical="center"/>
    </xf>
    <xf numFmtId="49" fontId="0" fillId="0" borderId="0" xfId="0" applyNumberFormat="1" applyFont="1" applyAlignment="1">
      <alignment vertical="center"/>
    </xf>
    <xf numFmtId="0" fontId="0" fillId="21" borderId="0" xfId="0" applyNumberFormat="1" applyFont="1" applyFill="1" applyAlignment="1">
      <alignment horizontal="right" vertical="center"/>
    </xf>
    <xf numFmtId="0" fontId="36" fillId="21" borderId="0" xfId="0" applyNumberFormat="1" applyFont="1" applyFill="1" applyAlignment="1">
      <alignment horizontal="left" vertical="center"/>
    </xf>
    <xf numFmtId="0" fontId="0" fillId="0" borderId="0" xfId="0" applyNumberFormat="1" applyFont="1" applyAlignment="1">
      <alignment horizontal="right" vertical="top"/>
    </xf>
    <xf numFmtId="0" fontId="0" fillId="21" borderId="1" xfId="0" applyNumberFormat="1" applyFont="1" applyFill="1" applyBorder="1" applyAlignment="1">
      <alignment horizontal="center"/>
    </xf>
    <xf numFmtId="0" fontId="0" fillId="0" borderId="1" xfId="0" applyNumberFormat="1" applyFont="1" applyBorder="1" applyAlignment="1">
      <alignment horizontal="center"/>
    </xf>
    <xf numFmtId="0" fontId="97" fillId="0" borderId="0" xfId="0" applyNumberFormat="1" applyFont="1" applyAlignment="1">
      <alignment wrapText="1"/>
    </xf>
    <xf numFmtId="49" fontId="48" fillId="0" borderId="0" xfId="0" applyNumberFormat="1" applyFont="1" applyAlignment="1">
      <alignment wrapText="1"/>
    </xf>
    <xf numFmtId="49" fontId="48" fillId="0" borderId="0" xfId="0" applyNumberFormat="1" applyFont="1" applyAlignment="1">
      <alignment vertical="center" wrapText="1"/>
    </xf>
    <xf numFmtId="49" fontId="98" fillId="0" borderId="0" xfId="0" applyNumberFormat="1" applyFont="1" applyAlignment="1">
      <alignment wrapText="1"/>
    </xf>
    <xf numFmtId="0" fontId="84" fillId="0" borderId="0" xfId="0" applyNumberFormat="1" applyFont="1" applyAlignment="1">
      <alignment horizontal="left" vertical="center" wrapText="1"/>
    </xf>
    <xf numFmtId="49" fontId="99" fillId="0" borderId="0" xfId="0" applyNumberFormat="1" applyFont="1" applyAlignment="1">
      <alignment wrapText="1"/>
    </xf>
    <xf numFmtId="0" fontId="27" fillId="0" borderId="0" xfId="0" applyNumberFormat="1" applyFont="1" applyAlignment="1">
      <alignment horizontal="left" vertical="top" wrapText="1"/>
    </xf>
    <xf numFmtId="49" fontId="5" fillId="0" borderId="0" xfId="0" applyNumberFormat="1" applyFont="1" applyAlignment="1">
      <alignment vertical="top" wrapText="1"/>
    </xf>
    <xf numFmtId="0" fontId="48" fillId="0" borderId="0" xfId="0" applyNumberFormat="1" applyFont="1" applyAlignment="1">
      <alignment wrapText="1"/>
    </xf>
    <xf numFmtId="0" fontId="100" fillId="0" borderId="0" xfId="0" applyNumberFormat="1" applyFont="1" applyAlignment="1">
      <alignment horizontal="left" vertical="center" wrapText="1"/>
    </xf>
    <xf numFmtId="0" fontId="101" fillId="0" borderId="0" xfId="0" applyNumberFormat="1" applyFont="1" applyAlignment="1">
      <alignment vertical="center" wrapText="1"/>
    </xf>
    <xf numFmtId="0" fontId="48" fillId="0" borderId="29" xfId="0" applyNumberFormat="1" applyFont="1" applyBorder="1" applyAlignment="1">
      <alignment wrapText="1"/>
    </xf>
    <xf numFmtId="0" fontId="48" fillId="0" borderId="0" xfId="0" applyNumberFormat="1" applyFont="1" applyAlignment="1"/>
    <xf numFmtId="0" fontId="100" fillId="0" borderId="0" xfId="0" applyNumberFormat="1" applyFont="1" applyAlignment="1"/>
    <xf numFmtId="0" fontId="102" fillId="0" borderId="0" xfId="0" applyNumberFormat="1" applyFont="1" applyAlignment="1">
      <alignment wrapText="1"/>
    </xf>
    <xf numFmtId="0" fontId="0" fillId="9" borderId="51" xfId="0" applyNumberFormat="1" applyFont="1" applyFill="1" applyBorder="1" applyAlignment="1">
      <alignment horizontal="center" vertical="center" wrapText="1"/>
    </xf>
    <xf numFmtId="0" fontId="0" fillId="26" borderId="51" xfId="0" applyNumberFormat="1" applyFont="1" applyFill="1" applyBorder="1" applyAlignment="1">
      <alignment horizontal="center" vertical="center" wrapText="1"/>
    </xf>
    <xf numFmtId="0" fontId="0" fillId="7" borderId="51" xfId="0" applyNumberFormat="1" applyFont="1" applyFill="1" applyBorder="1" applyAlignment="1">
      <alignment horizontal="center" vertical="center" wrapText="1"/>
    </xf>
    <xf numFmtId="0" fontId="0" fillId="12" borderId="51" xfId="0" applyNumberFormat="1" applyFont="1" applyFill="1" applyBorder="1" applyAlignment="1">
      <alignment horizontal="center" vertical="center" wrapText="1"/>
    </xf>
    <xf numFmtId="0" fontId="100" fillId="0" borderId="29" xfId="0" applyNumberFormat="1" applyFont="1" applyBorder="1" applyAlignment="1">
      <alignment horizontal="left" vertical="center" wrapText="1"/>
    </xf>
    <xf numFmtId="0" fontId="100" fillId="0" borderId="52" xfId="0" applyNumberFormat="1" applyFont="1" applyBorder="1" applyAlignment="1">
      <alignment horizontal="left" vertical="center" wrapText="1"/>
    </xf>
    <xf numFmtId="0" fontId="102" fillId="0" borderId="0" xfId="0" applyNumberFormat="1" applyFont="1" applyAlignment="1"/>
    <xf numFmtId="0" fontId="102" fillId="0" borderId="29" xfId="0" applyNumberFormat="1" applyFont="1" applyBorder="1" applyAlignment="1">
      <alignment wrapText="1"/>
    </xf>
    <xf numFmtId="0" fontId="48" fillId="0" borderId="53" xfId="0" applyNumberFormat="1" applyFont="1" applyBorder="1" applyAlignment="1">
      <alignment wrapText="1"/>
    </xf>
    <xf numFmtId="0" fontId="48" fillId="0" borderId="30" xfId="0" applyNumberFormat="1" applyFont="1" applyBorder="1" applyAlignment="1">
      <alignment wrapText="1"/>
    </xf>
    <xf numFmtId="0" fontId="48" fillId="0" borderId="30" xfId="0" applyNumberFormat="1" applyFont="1" applyBorder="1" applyAlignment="1">
      <alignment vertical="center" wrapText="1"/>
    </xf>
    <xf numFmtId="0" fontId="98" fillId="0" borderId="0" xfId="0" applyNumberFormat="1" applyFont="1" applyAlignment="1"/>
    <xf numFmtId="0" fontId="17" fillId="0" borderId="15"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49" fontId="103" fillId="0" borderId="0" xfId="0" applyNumberFormat="1" applyFont="1" applyAlignment="1">
      <alignment horizontal="center" vertical="center" wrapText="1"/>
    </xf>
    <xf numFmtId="49" fontId="5" fillId="21" borderId="0" xfId="0" applyNumberFormat="1" applyFont="1" applyFill="1" applyAlignment="1">
      <alignment horizontal="center" vertical="center"/>
    </xf>
    <xf numFmtId="168" fontId="0" fillId="12" borderId="3" xfId="0" applyNumberFormat="1" applyFont="1" applyFill="1" applyBorder="1" applyAlignment="1" applyProtection="1">
      <alignment horizontal="left" vertical="center" wrapText="1" indent="1"/>
      <protection locked="0"/>
    </xf>
    <xf numFmtId="168" fontId="0" fillId="0" borderId="3" xfId="0" applyNumberFormat="1" applyFont="1" applyBorder="1" applyAlignment="1">
      <alignment horizontal="left" vertical="center" wrapText="1" indent="1"/>
    </xf>
    <xf numFmtId="168" fontId="0" fillId="12" borderId="3" xfId="0" applyNumberFormat="1" applyFont="1" applyFill="1" applyBorder="1" applyAlignment="1" applyProtection="1">
      <alignment horizontal="center" vertical="center" wrapText="1"/>
      <protection locked="0"/>
    </xf>
    <xf numFmtId="168" fontId="29" fillId="0" borderId="0" xfId="0" applyNumberFormat="1" applyFont="1" applyAlignment="1">
      <alignment horizontal="center" vertical="center" wrapText="1"/>
    </xf>
    <xf numFmtId="168"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left" vertical="center" wrapText="1"/>
      <protection locked="0"/>
    </xf>
    <xf numFmtId="168" fontId="0" fillId="9" borderId="3" xfId="0" applyNumberFormat="1" applyFont="1" applyFill="1" applyBorder="1" applyAlignment="1" applyProtection="1">
      <alignment horizontal="left" vertical="center" wrapText="1" indent="1"/>
      <protection locked="0"/>
    </xf>
    <xf numFmtId="168" fontId="0" fillId="12" borderId="4" xfId="0" applyNumberFormat="1" applyFont="1" applyFill="1" applyBorder="1" applyAlignment="1" applyProtection="1">
      <alignment horizontal="left" vertical="center" wrapText="1"/>
      <protection locked="0"/>
    </xf>
    <xf numFmtId="0" fontId="5" fillId="0" borderId="0" xfId="0" applyNumberFormat="1" applyFont="1" applyAlignment="1">
      <alignment horizontal="left" vertical="top" indent="1"/>
    </xf>
    <xf numFmtId="0" fontId="5" fillId="7" borderId="21" xfId="0" applyNumberFormat="1" applyFont="1" applyFill="1" applyBorder="1" applyAlignment="1">
      <alignment horizontal="center" vertical="top"/>
    </xf>
    <xf numFmtId="0" fontId="0" fillId="0" borderId="25" xfId="0" applyNumberFormat="1" applyFont="1" applyBorder="1" applyAlignment="1">
      <alignment horizontal="center" vertical="center"/>
    </xf>
    <xf numFmtId="0" fontId="0" fillId="0" borderId="24" xfId="0" applyNumberFormat="1" applyFont="1" applyBorder="1" applyAlignment="1">
      <alignment horizontal="center" vertical="center"/>
    </xf>
    <xf numFmtId="0" fontId="5" fillId="7" borderId="21" xfId="0" applyNumberFormat="1" applyFont="1" applyFill="1" applyBorder="1" applyAlignment="1">
      <alignment horizontal="left" vertical="top"/>
    </xf>
    <xf numFmtId="0" fontId="5" fillId="0" borderId="3" xfId="0" applyNumberFormat="1" applyFont="1" applyBorder="1" applyAlignment="1">
      <alignment horizontal="left" vertical="top"/>
    </xf>
    <xf numFmtId="49" fontId="5" fillId="0" borderId="0" xfId="0" applyNumberFormat="1" applyFont="1" applyAlignment="1">
      <alignment horizontal="left" vertical="top"/>
    </xf>
    <xf numFmtId="0" fontId="0" fillId="7" borderId="27" xfId="0" applyNumberFormat="1" applyFont="1" applyFill="1" applyBorder="1" applyAlignment="1">
      <alignment horizontal="left" vertical="top" wrapText="1" indent="1"/>
    </xf>
    <xf numFmtId="49" fontId="5" fillId="13" borderId="27" xfId="0" applyNumberFormat="1" applyFont="1" applyFill="1" applyBorder="1" applyAlignment="1">
      <alignment horizontal="center" vertical="top" wrapText="1"/>
    </xf>
    <xf numFmtId="49" fontId="0" fillId="12" borderId="27" xfId="0" applyNumberFormat="1" applyFont="1" applyFill="1" applyBorder="1" applyAlignment="1" applyProtection="1">
      <alignment horizontal="center" vertical="top" wrapText="1"/>
      <protection locked="0"/>
    </xf>
    <xf numFmtId="49" fontId="0" fillId="9" borderId="27" xfId="0" applyNumberFormat="1" applyFont="1" applyFill="1" applyBorder="1" applyAlignment="1" applyProtection="1">
      <alignment horizontal="center" vertical="top" wrapText="1"/>
      <protection locked="0"/>
    </xf>
    <xf numFmtId="49" fontId="5" fillId="13" borderId="27" xfId="0" applyNumberFormat="1" applyFont="1" applyFill="1" applyBorder="1" applyAlignment="1">
      <alignment horizontal="left" vertical="top" wrapText="1"/>
    </xf>
    <xf numFmtId="49" fontId="5" fillId="12" borderId="27" xfId="0" applyNumberFormat="1" applyFont="1" applyFill="1" applyBorder="1" applyAlignment="1" applyProtection="1">
      <alignment horizontal="left" vertical="top" wrapText="1"/>
      <protection locked="0"/>
    </xf>
    <xf numFmtId="49" fontId="0" fillId="7" borderId="27" xfId="0" applyNumberFormat="1" applyFont="1" applyFill="1" applyBorder="1" applyAlignment="1">
      <alignment horizontal="center" vertical="top" wrapText="1"/>
    </xf>
    <xf numFmtId="0" fontId="5" fillId="7" borderId="27" xfId="0" applyNumberFormat="1" applyFont="1" applyFill="1" applyBorder="1" applyAlignment="1">
      <alignment horizontal="center" vertical="top" wrapText="1"/>
    </xf>
    <xf numFmtId="0" fontId="5" fillId="9" borderId="27" xfId="0" applyNumberFormat="1" applyFont="1" applyFill="1" applyBorder="1" applyAlignment="1" applyProtection="1">
      <alignment horizontal="left" vertical="top" wrapText="1"/>
      <protection locked="0"/>
    </xf>
    <xf numFmtId="0" fontId="21" fillId="0" borderId="27" xfId="0" applyNumberFormat="1" applyFont="1" applyBorder="1" applyAlignment="1">
      <alignment horizontal="left" vertical="center"/>
    </xf>
    <xf numFmtId="0" fontId="21" fillId="9" borderId="27" xfId="0" applyNumberFormat="1" applyFont="1" applyFill="1" applyBorder="1" applyAlignment="1" applyProtection="1">
      <alignment horizontal="left" vertical="center"/>
      <protection locked="0"/>
    </xf>
    <xf numFmtId="0" fontId="21" fillId="12" borderId="27" xfId="0" applyNumberFormat="1" applyFont="1" applyFill="1" applyBorder="1" applyAlignment="1" applyProtection="1">
      <alignment horizontal="left" vertical="center"/>
      <protection locked="0"/>
    </xf>
    <xf numFmtId="14" fontId="5" fillId="13" borderId="27" xfId="0" applyNumberFormat="1" applyFont="1" applyFill="1" applyBorder="1" applyAlignment="1">
      <alignment horizontal="left" vertical="center" wrapText="1" indent="1"/>
    </xf>
    <xf numFmtId="49" fontId="5" fillId="13"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0" fillId="8" borderId="3" xfId="0" applyNumberFormat="1" applyFont="1" applyFill="1" applyBorder="1" applyAlignment="1">
      <alignment vertical="top" wrapText="1"/>
    </xf>
    <xf numFmtId="0" fontId="28" fillId="0" borderId="3" xfId="0" applyNumberFormat="1" applyFont="1" applyBorder="1" applyAlignment="1">
      <alignment vertical="top" wrapText="1"/>
    </xf>
    <xf numFmtId="49" fontId="5" fillId="13" borderId="8" xfId="0" applyNumberFormat="1" applyFont="1" applyFill="1" applyBorder="1" applyAlignment="1">
      <alignment vertical="center" wrapText="1"/>
    </xf>
    <xf numFmtId="49" fontId="5" fillId="13" borderId="27" xfId="0" applyNumberFormat="1" applyFont="1" applyFill="1" applyBorder="1" applyAlignment="1">
      <alignment vertical="center" wrapText="1"/>
    </xf>
    <xf numFmtId="49" fontId="5" fillId="13" borderId="14" xfId="0" applyNumberFormat="1" applyFont="1" applyFill="1" applyBorder="1" applyAlignment="1">
      <alignment vertical="center" wrapText="1"/>
    </xf>
    <xf numFmtId="0" fontId="0" fillId="12" borderId="3" xfId="0" applyNumberFormat="1" applyFont="1" applyFill="1" applyBorder="1" applyAlignment="1" applyProtection="1">
      <alignment horizontal="left" vertical="center" wrapText="1" indent="1"/>
      <protection locked="0"/>
    </xf>
    <xf numFmtId="0" fontId="0" fillId="0" borderId="4"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0" fillId="0" borderId="3"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49" fontId="5" fillId="0" borderId="0" xfId="0" applyNumberFormat="1" applyFont="1" applyAlignment="1">
      <alignment horizontal="left" vertical="center" indent="1"/>
    </xf>
    <xf numFmtId="168" fontId="0" fillId="12" borderId="5" xfId="0" applyNumberFormat="1" applyFont="1" applyFill="1" applyBorder="1" applyAlignment="1" applyProtection="1">
      <alignment horizontal="left" vertical="center" wrapText="1"/>
      <protection locked="0"/>
    </xf>
    <xf numFmtId="168" fontId="0" fillId="0" borderId="2" xfId="0" applyNumberFormat="1" applyFont="1" applyBorder="1" applyAlignment="1">
      <alignment horizontal="left" vertical="center" wrapText="1" indent="1"/>
    </xf>
    <xf numFmtId="49" fontId="5" fillId="8" borderId="17" xfId="0" applyNumberFormat="1" applyFont="1" applyFill="1" applyBorder="1" applyAlignment="1">
      <alignment horizontal="right" vertical="center" wrapText="1" indent="1"/>
    </xf>
    <xf numFmtId="49" fontId="28" fillId="0" borderId="0" xfId="0" applyNumberFormat="1" applyFont="1" applyAlignment="1">
      <alignment vertical="center" wrapText="1"/>
    </xf>
    <xf numFmtId="49" fontId="0" fillId="9" borderId="3" xfId="0" applyNumberFormat="1" applyFont="1" applyFill="1" applyBorder="1" applyAlignment="1" applyProtection="1">
      <alignment horizontal="left" vertical="center" wrapText="1"/>
      <protection locked="0"/>
    </xf>
    <xf numFmtId="4" fontId="0" fillId="12" borderId="3" xfId="0" applyNumberFormat="1" applyFont="1" applyFill="1" applyBorder="1" applyAlignment="1" applyProtection="1">
      <alignment horizontal="right" vertical="center" wrapText="1"/>
      <protection locked="0"/>
    </xf>
    <xf numFmtId="49" fontId="5" fillId="0" borderId="0" xfId="0" applyNumberFormat="1" applyFont="1" applyAlignment="1">
      <alignment vertical="top" wrapText="1"/>
    </xf>
    <xf numFmtId="49" fontId="5" fillId="0" borderId="0" xfId="0" applyNumberFormat="1" applyFont="1">
      <alignment vertical="top"/>
    </xf>
    <xf numFmtId="49" fontId="5" fillId="0" borderId="0" xfId="0" applyNumberFormat="1" applyFont="1">
      <alignment vertical="top"/>
    </xf>
    <xf numFmtId="49" fontId="5" fillId="0" borderId="3" xfId="0" applyNumberFormat="1" applyFont="1" applyBorder="1" applyAlignment="1">
      <alignment horizontal="center" vertical="center" wrapText="1"/>
    </xf>
    <xf numFmtId="49" fontId="5" fillId="0" borderId="10" xfId="0" applyNumberFormat="1" applyFont="1" applyBorder="1" applyAlignment="1">
      <alignment horizontal="center" vertical="center" wrapText="1"/>
    </xf>
    <xf numFmtId="0" fontId="5" fillId="13" borderId="27" xfId="0" applyNumberFormat="1" applyFont="1" applyFill="1" applyBorder="1" applyAlignment="1">
      <alignment horizontal="center" vertical="top" wrapText="1"/>
    </xf>
    <xf numFmtId="49" fontId="5" fillId="0" borderId="10" xfId="0" applyNumberFormat="1" applyFont="1" applyBorder="1" applyAlignment="1">
      <alignment horizontal="left" vertical="center" wrapText="1"/>
    </xf>
    <xf numFmtId="49" fontId="5" fillId="0" borderId="0" xfId="0" applyNumberFormat="1" applyFont="1" applyAlignment="1">
      <alignment horizontal="center" vertical="center" wrapText="1"/>
    </xf>
    <xf numFmtId="49" fontId="5" fillId="13" borderId="27" xfId="0" applyNumberFormat="1" applyFont="1" applyFill="1" applyBorder="1" applyAlignment="1">
      <alignment horizontal="center" vertical="center" wrapText="1"/>
    </xf>
    <xf numFmtId="0" fontId="21" fillId="0" borderId="0" xfId="0" applyNumberFormat="1" applyFont="1" applyAlignment="1">
      <alignment horizontal="left"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5" fillId="8"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26" fillId="0" borderId="3" xfId="0" applyNumberFormat="1" applyFont="1" applyBorder="1" applyAlignment="1">
      <alignment horizontal="center" vertical="center"/>
    </xf>
    <xf numFmtId="49" fontId="0" fillId="12" borderId="3" xfId="0" applyNumberFormat="1" applyFont="1" applyFill="1" applyBorder="1" applyAlignment="1" applyProtection="1">
      <alignment horizontal="left" vertical="center" wrapText="1"/>
      <protection locked="0"/>
    </xf>
    <xf numFmtId="0" fontId="28" fillId="0" borderId="0" xfId="0" applyNumberFormat="1" applyFont="1" applyAlignment="1">
      <alignment horizontal="center" vertical="top"/>
    </xf>
    <xf numFmtId="49" fontId="5" fillId="0" borderId="27" xfId="0" applyNumberFormat="1" applyFont="1" applyBorder="1" applyAlignment="1">
      <alignment horizontal="center" vertical="top" wrapText="1"/>
    </xf>
    <xf numFmtId="0" fontId="5" fillId="0" borderId="3" xfId="0" applyNumberFormat="1" applyFont="1" applyBorder="1" applyAlignment="1">
      <alignment horizontal="left" vertical="center" wrapText="1"/>
    </xf>
    <xf numFmtId="0" fontId="17" fillId="0" borderId="3"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9" borderId="3" xfId="0" applyNumberFormat="1" applyFont="1" applyFill="1" applyBorder="1" applyAlignment="1" applyProtection="1">
      <alignment horizontal="left" vertical="center" wrapText="1"/>
      <protection locked="0"/>
    </xf>
    <xf numFmtId="49" fontId="29"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0" fillId="0" borderId="3" xfId="0" applyNumberFormat="1" applyFont="1" applyBorder="1" applyAlignment="1">
      <alignment horizontal="left" vertical="center" wrapText="1"/>
    </xf>
    <xf numFmtId="0" fontId="5" fillId="0" borderId="27" xfId="0" applyNumberFormat="1" applyFont="1" applyBorder="1" applyAlignment="1">
      <alignment horizontal="center" vertical="center" wrapText="1"/>
    </xf>
    <xf numFmtId="0" fontId="5" fillId="8" borderId="5" xfId="0" applyNumberFormat="1" applyFont="1" applyFill="1" applyBorder="1" applyAlignment="1">
      <alignment horizontal="center" vertical="center" wrapText="1"/>
    </xf>
    <xf numFmtId="49" fontId="0" fillId="8"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49" fontId="5" fillId="13" borderId="5"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26" fillId="0" borderId="4" xfId="0" applyNumberFormat="1" applyFont="1" applyBorder="1" applyAlignment="1">
      <alignment horizontal="center" vertical="center"/>
    </xf>
    <xf numFmtId="49" fontId="0" fillId="11" borderId="0" xfId="0" applyNumberFormat="1" applyFont="1" applyFill="1">
      <alignment vertical="top"/>
    </xf>
    <xf numFmtId="0" fontId="18" fillId="8" borderId="0" xfId="0" applyNumberFormat="1" applyFont="1" applyFill="1" applyAlignment="1">
      <alignment horizontal="center" vertical="center" wrapText="1"/>
    </xf>
    <xf numFmtId="0" fontId="18" fillId="8" borderId="0" xfId="0" applyNumberFormat="1" applyFont="1" applyFill="1" applyAlignment="1">
      <alignment horizontal="center"/>
    </xf>
    <xf numFmtId="0" fontId="18" fillId="0" borderId="0" xfId="0" applyNumberFormat="1" applyFont="1" applyAlignment="1">
      <alignment horizontal="center" vertical="center" wrapText="1"/>
    </xf>
    <xf numFmtId="0" fontId="23" fillId="0" borderId="0" xfId="0" applyNumberFormat="1" applyFont="1" applyAlignment="1">
      <alignment vertical="center" wrapText="1"/>
    </xf>
    <xf numFmtId="49" fontId="0" fillId="0" borderId="3" xfId="0" applyNumberFormat="1" applyFont="1" applyBorder="1">
      <alignment vertical="top"/>
    </xf>
    <xf numFmtId="49" fontId="0" fillId="0" borderId="3" xfId="0" applyNumberFormat="1" applyFont="1" applyBorder="1">
      <alignment vertical="top"/>
    </xf>
    <xf numFmtId="49" fontId="5" fillId="0" borderId="0" xfId="0" applyNumberFormat="1" applyFont="1">
      <alignment vertical="top"/>
    </xf>
    <xf numFmtId="0" fontId="18" fillId="8" borderId="0" xfId="0" applyNumberFormat="1" applyFont="1" applyFill="1" applyAlignment="1">
      <alignment vertical="top" wrapText="1"/>
    </xf>
    <xf numFmtId="49" fontId="104" fillId="12" borderId="3" xfId="0" applyNumberFormat="1" applyFont="1" applyFill="1" applyBorder="1" applyAlignment="1" applyProtection="1">
      <alignment horizontal="left" vertical="center" wrapText="1"/>
      <protection locked="0"/>
    </xf>
    <xf numFmtId="49" fontId="18" fillId="0" borderId="0" xfId="0" applyNumberFormat="1" applyFont="1" applyAlignment="1">
      <alignment horizontal="center" vertical="center" wrapText="1"/>
    </xf>
    <xf numFmtId="0" fontId="18" fillId="0" borderId="15" xfId="0" applyNumberFormat="1" applyFont="1" applyBorder="1" applyAlignment="1">
      <alignment horizontal="center" vertical="center" wrapText="1"/>
    </xf>
    <xf numFmtId="49" fontId="105" fillId="0" borderId="0" xfId="0" applyNumberFormat="1" applyFont="1" applyAlignment="1">
      <alignment horizontal="center" vertical="top" wrapText="1"/>
    </xf>
    <xf numFmtId="49" fontId="0" fillId="7" borderId="27" xfId="0" applyNumberFormat="1" applyFont="1" applyFill="1" applyBorder="1">
      <alignment vertical="top"/>
    </xf>
    <xf numFmtId="49" fontId="0" fillId="0" borderId="27" xfId="0" applyNumberFormat="1" applyFont="1" applyBorder="1">
      <alignment vertical="top"/>
    </xf>
    <xf numFmtId="49" fontId="0" fillId="12" borderId="27" xfId="0" applyNumberFormat="1" applyFont="1" applyFill="1" applyBorder="1" applyProtection="1">
      <alignment vertical="top"/>
      <protection locked="0"/>
    </xf>
    <xf numFmtId="49" fontId="0" fillId="12" borderId="8" xfId="0" applyNumberFormat="1" applyFont="1" applyFill="1" applyBorder="1" applyProtection="1">
      <alignment vertical="top"/>
      <protection locked="0"/>
    </xf>
    <xf numFmtId="49" fontId="0" fillId="12" borderId="14" xfId="0" applyNumberFormat="1" applyFont="1" applyFill="1" applyBorder="1" applyProtection="1">
      <alignment vertical="top"/>
      <protection locked="0"/>
    </xf>
    <xf numFmtId="49" fontId="105" fillId="0" borderId="27" xfId="0" applyNumberFormat="1" applyFont="1" applyBorder="1" applyAlignment="1">
      <alignment horizontal="center" vertical="top" wrapText="1"/>
    </xf>
    <xf numFmtId="49" fontId="0" fillId="0" borderId="0" xfId="0" applyNumberFormat="1" applyFont="1">
      <alignment vertical="top"/>
    </xf>
    <xf numFmtId="49" fontId="0" fillId="0" borderId="10" xfId="0" applyNumberFormat="1" applyFont="1" applyBorder="1">
      <alignment vertical="top"/>
    </xf>
    <xf numFmtId="49" fontId="0" fillId="0" borderId="13" xfId="0" applyNumberFormat="1" applyFont="1" applyBorder="1">
      <alignment vertical="top"/>
    </xf>
    <xf numFmtId="49" fontId="0" fillId="0" borderId="15" xfId="0" applyNumberFormat="1" applyFont="1" applyBorder="1">
      <alignment vertical="top"/>
    </xf>
    <xf numFmtId="49" fontId="0" fillId="0" borderId="0" xfId="0" applyNumberFormat="1" applyFont="1" applyAlignment="1">
      <alignment horizontal="left" vertical="top"/>
    </xf>
    <xf numFmtId="49" fontId="0" fillId="0" borderId="0" xfId="0" applyNumberFormat="1" applyFont="1" applyAlignment="1">
      <alignment vertical="center"/>
    </xf>
    <xf numFmtId="0" fontId="0" fillId="0" borderId="0" xfId="0" applyNumberFormat="1" applyFont="1" applyAlignment="1">
      <alignment vertical="center"/>
    </xf>
    <xf numFmtId="0" fontId="18" fillId="0" borderId="0" xfId="0" applyNumberFormat="1" applyFont="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0" fontId="0" fillId="0" borderId="0" xfId="0" applyNumberFormat="1" applyFont="1" applyAlignment="1">
      <alignment horizontal="left" vertical="center" indent="1"/>
    </xf>
    <xf numFmtId="0" fontId="0" fillId="0" borderId="0" xfId="0" applyNumberFormat="1" applyFont="1" applyAlignment="1">
      <alignment vertical="center"/>
    </xf>
    <xf numFmtId="0" fontId="0" fillId="10" borderId="6" xfId="0" applyNumberFormat="1" applyFont="1" applyFill="1" applyBorder="1" applyAlignment="1">
      <alignment vertical="center"/>
    </xf>
    <xf numFmtId="49" fontId="0" fillId="0" borderId="27" xfId="0" applyNumberFormat="1" applyFont="1" applyBorder="1" applyAlignment="1">
      <alignment horizontal="left" vertical="top"/>
    </xf>
    <xf numFmtId="49" fontId="0" fillId="13" borderId="27" xfId="0" applyNumberFormat="1" applyFont="1" applyFill="1" applyBorder="1" applyAlignment="1">
      <alignment horizontal="left" vertical="top"/>
    </xf>
    <xf numFmtId="49" fontId="0" fillId="9" borderId="27" xfId="0" applyNumberFormat="1" applyFont="1" applyFill="1" applyBorder="1" applyAlignment="1" applyProtection="1">
      <alignment horizontal="left" vertical="top"/>
      <protection locked="0"/>
    </xf>
    <xf numFmtId="49" fontId="0" fillId="0" borderId="0" xfId="0" applyNumberFormat="1" applyFont="1">
      <alignment vertical="top"/>
    </xf>
    <xf numFmtId="49" fontId="0" fillId="9" borderId="27" xfId="0" applyNumberFormat="1" applyFont="1" applyFill="1" applyBorder="1" applyProtection="1">
      <alignment vertical="top"/>
      <protection locked="0"/>
    </xf>
    <xf numFmtId="49" fontId="0" fillId="0" borderId="10" xfId="0" applyNumberFormat="1" applyFont="1" applyBorder="1" applyAlignment="1">
      <alignment horizontal="left" vertical="center" wrapText="1"/>
    </xf>
    <xf numFmtId="0" fontId="0" fillId="0" borderId="0" xfId="0" applyNumberFormat="1" applyFont="1" applyAlignment="1">
      <alignment vertical="center"/>
    </xf>
    <xf numFmtId="0" fontId="0" fillId="0" borderId="18" xfId="0" applyNumberFormat="1" applyFont="1" applyBorder="1" applyAlignment="1">
      <alignment vertical="center"/>
    </xf>
    <xf numFmtId="49" fontId="18" fillId="0" borderId="27" xfId="0" applyNumberFormat="1" applyFont="1" applyBorder="1" applyAlignment="1">
      <alignment vertical="center" wrapText="1"/>
    </xf>
    <xf numFmtId="49" fontId="18" fillId="0" borderId="27" xfId="0" applyNumberFormat="1" applyFont="1" applyBorder="1" applyAlignment="1">
      <alignment horizontal="center" vertical="center" wrapText="1"/>
    </xf>
    <xf numFmtId="49" fontId="18" fillId="0" borderId="10" xfId="0" applyNumberFormat="1" applyFont="1" applyBorder="1" applyAlignment="1">
      <alignment vertical="center" wrapText="1"/>
    </xf>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5" fillId="8" borderId="14" xfId="0" applyNumberFormat="1" applyFont="1" applyFill="1" applyBorder="1" applyAlignment="1">
      <alignment horizontal="center" vertical="center" wrapText="1"/>
    </xf>
    <xf numFmtId="0" fontId="5" fillId="0" borderId="27" xfId="0" applyNumberFormat="1" applyFont="1" applyBorder="1" applyAlignment="1">
      <alignment horizontal="left" vertical="top" wrapText="1"/>
    </xf>
    <xf numFmtId="0" fontId="0" fillId="0" borderId="4" xfId="0" applyNumberFormat="1" applyFont="1" applyBorder="1" applyAlignment="1">
      <alignment horizontal="center" vertical="center" wrapText="1"/>
    </xf>
    <xf numFmtId="4" fontId="0" fillId="12" borderId="4" xfId="0" applyNumberFormat="1" applyFont="1" applyFill="1" applyBorder="1" applyAlignment="1" applyProtection="1">
      <alignment horizontal="right" vertical="center" wrapText="1"/>
      <protection locked="0"/>
    </xf>
    <xf numFmtId="0" fontId="0" fillId="0" borderId="4"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xf>
    <xf numFmtId="49" fontId="0" fillId="8" borderId="8" xfId="0" applyNumberFormat="1" applyFont="1" applyFill="1" applyBorder="1" applyAlignment="1">
      <alignment horizontal="center" vertical="center" wrapText="1"/>
    </xf>
    <xf numFmtId="0" fontId="0" fillId="0" borderId="14" xfId="0" applyNumberFormat="1" applyFont="1" applyBorder="1" applyAlignment="1">
      <alignment horizontal="center" vertical="center" wrapText="1"/>
    </xf>
    <xf numFmtId="0" fontId="5" fillId="13" borderId="5" xfId="0" applyNumberFormat="1" applyFont="1" applyFill="1" applyBorder="1" applyAlignment="1">
      <alignment horizontal="left" vertical="center" wrapText="1"/>
    </xf>
    <xf numFmtId="49" fontId="0" fillId="0" borderId="3" xfId="0" applyNumberFormat="1" applyFont="1" applyBorder="1" applyAlignment="1">
      <alignment horizontal="center" vertical="center" wrapText="1"/>
    </xf>
    <xf numFmtId="49" fontId="26" fillId="27" borderId="0" xfId="0" applyNumberFormat="1" applyFont="1" applyFill="1" applyAlignment="1">
      <alignment vertical="center" wrapText="1"/>
    </xf>
    <xf numFmtId="0" fontId="28" fillId="0" borderId="0" xfId="0" applyNumberFormat="1" applyFont="1" applyAlignment="1">
      <alignment vertical="top" wrapText="1"/>
    </xf>
    <xf numFmtId="49" fontId="13" fillId="0" borderId="0" xfId="0" applyNumberFormat="1" applyFont="1" applyAlignment="1">
      <alignment horizontal="center" vertical="top" wrapText="1"/>
    </xf>
    <xf numFmtId="49" fontId="5" fillId="0" borderId="0" xfId="0" applyNumberFormat="1" applyFont="1" applyAlignment="1">
      <alignment horizontal="center" vertical="top" wrapText="1"/>
    </xf>
    <xf numFmtId="49" fontId="5" fillId="8" borderId="0" xfId="0" applyNumberFormat="1" applyFont="1" applyFill="1" applyAlignment="1">
      <alignment horizontal="center" vertical="top" wrapText="1"/>
    </xf>
    <xf numFmtId="0" fontId="0" fillId="0" borderId="27"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3" xfId="0" applyNumberFormat="1" applyFont="1" applyBorder="1" applyAlignment="1">
      <alignment horizontal="center" vertical="center" wrapText="1"/>
    </xf>
    <xf numFmtId="0" fontId="28" fillId="0" borderId="0" xfId="0" applyNumberFormat="1" applyFont="1" applyAlignment="1">
      <alignment horizontal="center" vertical="center" wrapText="1"/>
    </xf>
    <xf numFmtId="0" fontId="28" fillId="0" borderId="3" xfId="0" applyNumberFormat="1" applyFont="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49" fontId="5" fillId="7" borderId="3" xfId="0" applyNumberFormat="1" applyFont="1" applyFill="1" applyBorder="1" applyAlignment="1">
      <alignment horizontal="center" vertical="center" wrapText="1"/>
    </xf>
    <xf numFmtId="0" fontId="0" fillId="0" borderId="3" xfId="0" applyNumberFormat="1" applyFont="1" applyBorder="1" applyAlignment="1">
      <alignment horizontal="left" vertical="top" wrapText="1"/>
    </xf>
    <xf numFmtId="14" fontId="5" fillId="13" borderId="3" xfId="0" applyNumberFormat="1" applyFont="1" applyFill="1" applyBorder="1" applyAlignment="1">
      <alignment horizontal="left" vertical="center" wrapText="1" indent="1"/>
    </xf>
    <xf numFmtId="49" fontId="106" fillId="0" borderId="3" xfId="0" applyNumberFormat="1" applyFont="1" applyBorder="1" applyAlignment="1">
      <alignment horizontal="left" vertical="center" wrapText="1" indent="1"/>
    </xf>
    <xf numFmtId="0" fontId="5" fillId="0" borderId="5" xfId="0" applyNumberFormat="1" applyFont="1" applyBorder="1" applyAlignment="1">
      <alignment horizontal="center" vertical="center" wrapText="1"/>
    </xf>
    <xf numFmtId="49" fontId="5" fillId="0" borderId="3" xfId="0" applyNumberFormat="1" applyFont="1" applyBorder="1" applyAlignment="1">
      <alignment horizontal="center" vertical="center" wrapText="1"/>
    </xf>
    <xf numFmtId="0" fontId="5" fillId="0" borderId="14" xfId="0" applyNumberFormat="1" applyFont="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169" fontId="5" fillId="0" borderId="14" xfId="0" applyNumberFormat="1" applyFont="1" applyBorder="1" applyAlignment="1">
      <alignment horizontal="center" vertical="center" wrapText="1"/>
    </xf>
    <xf numFmtId="0" fontId="5" fillId="0" borderId="0" xfId="0" applyNumberFormat="1" applyFont="1" applyAlignment="1">
      <alignment horizontal="right" vertical="center" wrapText="1"/>
    </xf>
    <xf numFmtId="0" fontId="5" fillId="8" borderId="3" xfId="0" applyNumberFormat="1" applyFont="1" applyFill="1" applyBorder="1" applyAlignment="1">
      <alignment vertical="top" wrapText="1"/>
    </xf>
    <xf numFmtId="0" fontId="5" fillId="8" borderId="3" xfId="0" applyNumberFormat="1" applyFont="1" applyFill="1" applyBorder="1" applyAlignment="1">
      <alignment horizontal="left" vertical="top" wrapText="1"/>
    </xf>
    <xf numFmtId="49" fontId="35" fillId="9" borderId="14" xfId="0" applyNumberFormat="1" applyFont="1" applyFill="1" applyBorder="1" applyAlignment="1" applyProtection="1">
      <alignment horizontal="left" vertical="center" wrapText="1"/>
      <protection locked="0"/>
    </xf>
    <xf numFmtId="49" fontId="0" fillId="10" borderId="20" xfId="0" applyNumberFormat="1" applyFont="1" applyFill="1" applyBorder="1" applyAlignment="1">
      <alignment horizontal="right" vertical="center" wrapText="1"/>
    </xf>
    <xf numFmtId="0" fontId="5" fillId="0" borderId="0" xfId="0" applyNumberFormat="1" applyFont="1" applyAlignment="1">
      <alignment horizontal="left" vertical="center" wrapText="1"/>
    </xf>
    <xf numFmtId="0" fontId="0" fillId="21" borderId="0" xfId="0" applyNumberFormat="1" applyFont="1" applyFill="1" applyAlignment="1">
      <alignment horizontal="right" vertical="top" wrapText="1"/>
    </xf>
    <xf numFmtId="0" fontId="5" fillId="0" borderId="0" xfId="0" applyNumberFormat="1" applyFont="1" applyAlignment="1">
      <alignment horizontal="left" vertical="top" wrapText="1"/>
    </xf>
    <xf numFmtId="14" fontId="5" fillId="0" borderId="14" xfId="0" applyNumberFormat="1" applyFont="1" applyBorder="1" applyAlignment="1">
      <alignment horizontal="left" vertical="center" wrapText="1" indent="1"/>
    </xf>
    <xf numFmtId="0" fontId="5" fillId="0" borderId="3" xfId="0" applyNumberFormat="1" applyFont="1" applyBorder="1" applyAlignment="1">
      <alignment horizontal="center" vertical="center" wrapText="1"/>
    </xf>
    <xf numFmtId="0" fontId="5" fillId="0" borderId="14" xfId="0" applyNumberFormat="1" applyFont="1" applyBorder="1" applyAlignment="1">
      <alignment horizontal="center" vertical="center" wrapText="1"/>
    </xf>
    <xf numFmtId="0" fontId="5" fillId="7" borderId="3" xfId="0" applyNumberFormat="1" applyFont="1" applyFill="1" applyBorder="1" applyAlignment="1">
      <alignment horizontal="left" vertical="center" wrapText="1" indent="1"/>
    </xf>
    <xf numFmtId="0" fontId="29" fillId="0" borderId="0" xfId="0" applyNumberFormat="1" applyFont="1" applyAlignment="1">
      <alignment horizontal="center" vertical="center" wrapText="1"/>
    </xf>
    <xf numFmtId="0" fontId="5" fillId="7" borderId="3" xfId="0" applyNumberFormat="1" applyFont="1" applyFill="1" applyBorder="1" applyAlignment="1">
      <alignment horizontal="left" vertical="center" wrapText="1"/>
    </xf>
    <xf numFmtId="169" fontId="5" fillId="0" borderId="3"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12" borderId="3" xfId="0" applyNumberFormat="1" applyFont="1" applyFill="1" applyBorder="1" applyAlignment="1" applyProtection="1">
      <alignment horizontal="left" vertical="center" wrapText="1"/>
      <protection locked="0"/>
    </xf>
    <xf numFmtId="0" fontId="5" fillId="8" borderId="27" xfId="0" applyNumberFormat="1" applyFont="1" applyFill="1" applyBorder="1" applyAlignment="1">
      <alignment vertical="center" wrapText="1"/>
    </xf>
    <xf numFmtId="169" fontId="26" fillId="0" borderId="10" xfId="0" applyNumberFormat="1" applyFont="1" applyBorder="1" applyAlignment="1">
      <alignment horizontal="center" vertical="center" wrapText="1"/>
    </xf>
    <xf numFmtId="169" fontId="26" fillId="0" borderId="11" xfId="0" applyNumberFormat="1" applyFont="1" applyBorder="1" applyAlignment="1">
      <alignment horizontal="center" vertical="center" wrapText="1"/>
    </xf>
    <xf numFmtId="170" fontId="5" fillId="12" borderId="3" xfId="0" applyNumberFormat="1" applyFont="1" applyFill="1" applyBorder="1" applyAlignment="1" applyProtection="1">
      <alignment horizontal="left" vertical="center" wrapText="1" indent="1"/>
      <protection locked="0"/>
    </xf>
    <xf numFmtId="168" fontId="0" fillId="12" borderId="6" xfId="0" applyNumberFormat="1" applyFont="1" applyFill="1" applyBorder="1" applyAlignment="1" applyProtection="1">
      <alignment horizontal="left" vertical="center" wrapText="1" indent="1"/>
      <protection locked="0"/>
    </xf>
    <xf numFmtId="49" fontId="5" fillId="12" borderId="18" xfId="0" applyNumberFormat="1" applyFont="1" applyFill="1" applyBorder="1" applyAlignment="1" applyProtection="1">
      <alignment horizontal="left" vertical="center" wrapText="1"/>
      <protection locked="0"/>
    </xf>
    <xf numFmtId="49" fontId="5" fillId="12" borderId="21" xfId="0" applyNumberFormat="1" applyFont="1" applyFill="1" applyBorder="1" applyAlignment="1" applyProtection="1">
      <alignment horizontal="left" vertical="center" wrapText="1"/>
      <protection locked="0"/>
    </xf>
    <xf numFmtId="49" fontId="35" fillId="10" borderId="20" xfId="0" applyNumberFormat="1" applyFont="1" applyFill="1" applyBorder="1" applyAlignment="1">
      <alignment horizontal="left" vertical="center" wrapText="1"/>
    </xf>
    <xf numFmtId="0" fontId="5" fillId="12" borderId="3" xfId="0" applyNumberFormat="1" applyFont="1" applyFill="1" applyBorder="1" applyAlignment="1" applyProtection="1">
      <alignment horizontal="left" vertical="top" wrapText="1" indent="1"/>
      <protection locked="0"/>
    </xf>
    <xf numFmtId="0" fontId="5" fillId="0" borderId="6" xfId="0" applyNumberFormat="1" applyFont="1" applyBorder="1" applyAlignment="1">
      <alignment horizontal="center" vertical="center" wrapText="1"/>
    </xf>
    <xf numFmtId="0" fontId="29" fillId="0" borderId="0" xfId="0" applyNumberFormat="1" applyFont="1" applyAlignment="1">
      <alignment horizontal="center" vertical="center" wrapText="1"/>
    </xf>
    <xf numFmtId="0" fontId="5" fillId="8" borderId="13" xfId="0" applyNumberFormat="1" applyFont="1" applyFill="1" applyBorder="1" applyAlignment="1">
      <alignment vertical="center" wrapText="1"/>
    </xf>
    <xf numFmtId="0" fontId="17" fillId="0" borderId="0" xfId="13" applyNumberFormat="1" applyFont="1" applyAlignment="1">
      <alignment horizontal="center" vertical="center" wrapText="1"/>
    </xf>
    <xf numFmtId="0" fontId="17" fillId="0" borderId="3" xfId="13" applyNumberFormat="1" applyFont="1" applyBorder="1" applyAlignment="1">
      <alignment horizontal="center" vertical="center" wrapText="1"/>
    </xf>
    <xf numFmtId="0" fontId="5" fillId="0" borderId="3" xfId="0" applyNumberFormat="1" applyFont="1" applyBorder="1" applyAlignment="1">
      <alignment horizontal="left" vertical="top"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0"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0" xfId="0" applyNumberFormat="1" applyFont="1" applyAlignment="1">
      <alignment horizontal="center" vertical="center" wrapText="1"/>
    </xf>
    <xf numFmtId="0" fontId="5" fillId="0" borderId="3"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8" borderId="3"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7" borderId="6" xfId="0" applyNumberFormat="1" applyFont="1" applyFill="1" applyBorder="1" applyAlignment="1">
      <alignment horizontal="left" vertical="center" wrapText="1"/>
    </xf>
    <xf numFmtId="0" fontId="5" fillId="0" borderId="0" xfId="0" applyNumberFormat="1" applyFont="1" applyAlignment="1">
      <alignment horizontal="left" vertical="top"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8" borderId="14" xfId="0" applyNumberFormat="1" applyFont="1" applyFill="1" applyBorder="1" applyAlignment="1">
      <alignment horizontal="center" vertical="center" wrapText="1"/>
    </xf>
    <xf numFmtId="0" fontId="29" fillId="0" borderId="6" xfId="0" applyNumberFormat="1" applyFont="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0" borderId="0" xfId="0" applyNumberFormat="1" applyFont="1" applyAlignment="1">
      <alignment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5" fillId="8" borderId="2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0" fontId="5" fillId="0" borderId="0" xfId="0" applyNumberFormat="1" applyFont="1" applyAlignment="1">
      <alignment horizontal="right" vertical="center" wrapText="1"/>
    </xf>
    <xf numFmtId="0" fontId="5" fillId="0" borderId="0" xfId="0" applyNumberFormat="1" applyFont="1" applyAlignment="1">
      <alignment horizontal="left" vertical="center"/>
    </xf>
    <xf numFmtId="49" fontId="5" fillId="0" borderId="0" xfId="0" applyNumberFormat="1" applyFont="1" applyAlignment="1">
      <alignment horizontal="left" vertical="center"/>
    </xf>
    <xf numFmtId="0" fontId="5" fillId="0" borderId="0" xfId="0" applyNumberFormat="1" applyFont="1" applyAlignment="1">
      <alignment horizontal="left" vertical="center"/>
    </xf>
    <xf numFmtId="0" fontId="5" fillId="0" borderId="0" xfId="0" applyNumberFormat="1" applyFont="1" applyAlignment="1">
      <alignment horizontal="left" vertical="center" indent="1"/>
    </xf>
    <xf numFmtId="49" fontId="5" fillId="0" borderId="0" xfId="0" applyNumberFormat="1" applyFont="1" applyAlignment="1">
      <alignment horizontal="left" vertical="center"/>
    </xf>
    <xf numFmtId="0" fontId="0" fillId="0" borderId="3" xfId="0" applyNumberFormat="1" applyFont="1" applyBorder="1" applyAlignment="1">
      <alignment horizontal="center" vertical="center" wrapText="1"/>
    </xf>
    <xf numFmtId="49" fontId="0" fillId="12" borderId="3" xfId="0" applyNumberFormat="1" applyFont="1" applyFill="1" applyBorder="1" applyAlignment="1" applyProtection="1">
      <alignment horizontal="left" vertical="center" wrapText="1"/>
      <protection locked="0"/>
    </xf>
    <xf numFmtId="49" fontId="5" fillId="8" borderId="0" xfId="0" applyNumberFormat="1" applyFont="1" applyFill="1" applyAlignment="1">
      <alignment vertical="center" wrapText="1"/>
    </xf>
    <xf numFmtId="0" fontId="62" fillId="8" borderId="10" xfId="0" applyNumberFormat="1" applyFont="1" applyFill="1" applyBorder="1" applyAlignment="1">
      <alignment horizontal="center" vertical="center" wrapText="1"/>
    </xf>
    <xf numFmtId="0" fontId="28" fillId="0" borderId="0" xfId="0" applyNumberFormat="1" applyFont="1" applyAlignment="1">
      <alignment horizontal="center" vertical="center" wrapText="1"/>
    </xf>
    <xf numFmtId="49" fontId="5" fillId="0" borderId="0" xfId="0" applyNumberFormat="1" applyFont="1" applyAlignment="1">
      <alignment vertical="center" wrapText="1"/>
    </xf>
    <xf numFmtId="49" fontId="5" fillId="9" borderId="3" xfId="0" applyNumberFormat="1" applyFont="1" applyFill="1" applyBorder="1" applyAlignment="1" applyProtection="1">
      <alignment horizontal="left" vertical="center" indent="1"/>
      <protection locked="0"/>
    </xf>
    <xf numFmtId="49" fontId="5" fillId="8" borderId="3" xfId="11" applyNumberFormat="1" applyFont="1" applyFill="1" applyBorder="1" applyAlignment="1">
      <alignment horizontal="center" vertical="center" wrapText="1"/>
    </xf>
    <xf numFmtId="14" fontId="5" fillId="12" borderId="5" xfId="0" applyNumberFormat="1" applyFont="1" applyFill="1" applyBorder="1" applyAlignment="1" applyProtection="1">
      <alignment horizontal="left" vertical="center" wrapText="1" indent="1"/>
      <protection locked="0"/>
    </xf>
    <xf numFmtId="0" fontId="28" fillId="0" borderId="27" xfId="0" applyNumberFormat="1" applyFont="1" applyBorder="1" applyAlignment="1">
      <alignment horizontal="left" vertical="center" wrapText="1" indent="1"/>
    </xf>
    <xf numFmtId="49" fontId="87" fillId="10" borderId="33" xfId="0" applyNumberFormat="1" applyFont="1" applyFill="1" applyBorder="1" applyAlignment="1">
      <alignment horizontal="left" vertical="center" indent="1"/>
    </xf>
    <xf numFmtId="14" fontId="5" fillId="13" borderId="13" xfId="0" applyNumberFormat="1" applyFont="1" applyFill="1" applyBorder="1" applyAlignment="1">
      <alignment horizontal="left" vertical="center" wrapText="1" indent="1"/>
    </xf>
    <xf numFmtId="0" fontId="5" fillId="0" borderId="13" xfId="0" applyNumberFormat="1" applyFont="1" applyBorder="1" applyAlignment="1">
      <alignment vertical="center" wrapText="1"/>
    </xf>
    <xf numFmtId="0" fontId="0" fillId="0" borderId="4" xfId="0" applyNumberFormat="1" applyFont="1" applyBorder="1" applyAlignment="1">
      <alignment horizontal="center" vertical="center" wrapText="1"/>
    </xf>
    <xf numFmtId="49" fontId="5" fillId="13" borderId="3" xfId="0" applyNumberFormat="1" applyFont="1" applyFill="1" applyBorder="1" applyAlignment="1">
      <alignment horizontal="center" vertical="center" wrapText="1"/>
    </xf>
    <xf numFmtId="0" fontId="5" fillId="0" borderId="3" xfId="0" applyNumberFormat="1" applyFont="1" applyBorder="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0" fontId="5" fillId="8" borderId="8" xfId="0" applyNumberFormat="1" applyFont="1" applyFill="1" applyBorder="1" applyAlignment="1">
      <alignment horizontal="left" vertical="center" wrapText="1"/>
    </xf>
    <xf numFmtId="49" fontId="5" fillId="12" borderId="8" xfId="0" applyNumberFormat="1" applyFont="1" applyFill="1" applyBorder="1" applyAlignment="1" applyProtection="1">
      <alignment horizontal="left" vertical="center" wrapText="1" indent="6"/>
      <protection locked="0"/>
    </xf>
    <xf numFmtId="0" fontId="29" fillId="0" borderId="15" xfId="0" applyNumberFormat="1" applyFont="1" applyBorder="1" applyAlignment="1">
      <alignment horizontal="center" vertical="top" wrapText="1"/>
    </xf>
    <xf numFmtId="49" fontId="5" fillId="9" borderId="8"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left" vertical="center" wrapText="1" indent="1"/>
      <protection locked="0"/>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49" fontId="0" fillId="0" borderId="10" xfId="0" applyNumberFormat="1" applyFont="1" applyBorder="1" applyAlignment="1">
      <alignment horizontal="left" vertical="center" wrapText="1"/>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49" fontId="13" fillId="20" borderId="0" xfId="0" applyNumberFormat="1" applyFont="1" applyFill="1" applyAlignment="1">
      <alignment horizontal="center" vertical="center" wrapText="1"/>
    </xf>
    <xf numFmtId="0" fontId="29" fillId="0" borderId="0" xfId="0" applyNumberFormat="1" applyFont="1" applyAlignment="1">
      <alignment horizontal="center" vertical="center" wrapText="1"/>
    </xf>
    <xf numFmtId="0" fontId="5" fillId="8" borderId="3" xfId="0" applyNumberFormat="1" applyFont="1" applyFill="1" applyBorder="1" applyAlignment="1">
      <alignment horizontal="left" vertical="center" wrapText="1"/>
    </xf>
    <xf numFmtId="0" fontId="5" fillId="8" borderId="8"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6" fillId="0" borderId="4" xfId="0" applyNumberFormat="1" applyFont="1" applyBorder="1" applyAlignment="1">
      <alignment vertical="top" wrapText="1"/>
    </xf>
    <xf numFmtId="0" fontId="29" fillId="0" borderId="4" xfId="0" applyNumberFormat="1" applyFont="1" applyBorder="1" applyAlignment="1">
      <alignment vertical="top" wrapText="1"/>
    </xf>
    <xf numFmtId="0" fontId="5" fillId="8" borderId="8" xfId="0" applyNumberFormat="1" applyFont="1" applyFill="1" applyBorder="1" applyAlignment="1">
      <alignment horizontal="left" vertical="center" wrapText="1" indent="2"/>
    </xf>
    <xf numFmtId="0" fontId="5" fillId="0" borderId="8" xfId="0" applyNumberFormat="1" applyFont="1" applyBorder="1" applyAlignment="1">
      <alignment horizontal="left" vertical="center" wrapText="1" indent="6"/>
    </xf>
    <xf numFmtId="0" fontId="5" fillId="13" borderId="14" xfId="0" applyNumberFormat="1" applyFont="1" applyFill="1" applyBorder="1" applyAlignment="1">
      <alignment horizontal="left" vertical="center" wrapText="1" indent="6"/>
    </xf>
    <xf numFmtId="0" fontId="5" fillId="0" borderId="14" xfId="0" applyNumberFormat="1" applyFont="1" applyBorder="1" applyAlignment="1">
      <alignment horizontal="left" vertical="center" wrapText="1" indent="6"/>
    </xf>
    <xf numFmtId="4" fontId="5" fillId="9" borderId="14" xfId="0" applyNumberFormat="1" applyFont="1" applyFill="1" applyBorder="1" applyAlignment="1" applyProtection="1">
      <alignment horizontal="right" vertical="center" wrapText="1"/>
      <protection locked="0"/>
    </xf>
    <xf numFmtId="166" fontId="5" fillId="9" borderId="14" xfId="0" applyNumberFormat="1" applyFont="1" applyFill="1" applyBorder="1" applyAlignment="1" applyProtection="1">
      <alignment horizontal="right" vertical="center" wrapText="1"/>
      <protection locked="0"/>
    </xf>
    <xf numFmtId="0" fontId="5" fillId="0" borderId="6" xfId="0" applyNumberFormat="1" applyFont="1" applyBorder="1" applyAlignment="1">
      <alignment horizontal="center" vertical="center" wrapText="1"/>
    </xf>
    <xf numFmtId="0" fontId="5" fillId="0" borderId="4"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center" wrapText="1"/>
    </xf>
    <xf numFmtId="0" fontId="5" fillId="0" borderId="28" xfId="0" applyNumberFormat="1" applyFont="1" applyBorder="1" applyAlignment="1">
      <alignment horizontal="center" vertical="center" wrapText="1"/>
    </xf>
    <xf numFmtId="49"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0" fillId="0" borderId="3" xfId="0" applyNumberFormat="1" applyFont="1" applyBorder="1" applyAlignment="1">
      <alignment horizontal="center" vertical="center" wrapText="1"/>
    </xf>
    <xf numFmtId="0" fontId="5" fillId="0" borderId="6" xfId="0" applyNumberFormat="1" applyFont="1" applyBorder="1" applyAlignment="1">
      <alignment horizontal="right" vertical="center" wrapText="1" indent="1"/>
    </xf>
    <xf numFmtId="0" fontId="5" fillId="0" borderId="0" xfId="0" applyNumberFormat="1" applyFont="1" applyAlignment="1">
      <alignment horizontal="left" vertical="top" wrapText="1"/>
    </xf>
    <xf numFmtId="0" fontId="5" fillId="7" borderId="5" xfId="0" applyNumberFormat="1" applyFont="1" applyFill="1" applyBorder="1" applyAlignment="1">
      <alignment horizontal="left" vertical="top" wrapText="1"/>
    </xf>
    <xf numFmtId="49" fontId="5" fillId="0" borderId="0" xfId="0" applyNumberFormat="1" applyFont="1" applyAlignment="1">
      <alignment vertical="center" wrapText="1"/>
    </xf>
    <xf numFmtId="0" fontId="0" fillId="0" borderId="3" xfId="0" applyNumberFormat="1" applyFont="1" applyBorder="1" applyAlignment="1">
      <alignment horizontal="left" vertical="center" wrapText="1"/>
    </xf>
    <xf numFmtId="49" fontId="5" fillId="0" borderId="3" xfId="0" applyNumberFormat="1" applyFont="1" applyBorder="1" applyAlignment="1">
      <alignment horizontal="center" vertical="center" wrapText="1"/>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49" fontId="76" fillId="0" borderId="34" xfId="0" applyNumberFormat="1" applyFont="1" applyBorder="1" applyAlignment="1">
      <alignment horizontal="center" vertical="center"/>
    </xf>
    <xf numFmtId="49" fontId="76" fillId="0" borderId="34" xfId="0" applyNumberFormat="1" applyFont="1" applyBorder="1" applyAlignment="1">
      <alignment horizontal="left" vertical="center" indent="1"/>
    </xf>
    <xf numFmtId="49" fontId="76" fillId="0" borderId="5" xfId="0" applyNumberFormat="1" applyFont="1" applyBorder="1" applyAlignment="1">
      <alignment horizontal="left" vertical="center" indent="1"/>
    </xf>
    <xf numFmtId="49" fontId="76" fillId="0" borderId="6" xfId="0" applyNumberFormat="1" applyFont="1" applyBorder="1" applyAlignment="1">
      <alignment horizontal="left" vertical="center" indent="1"/>
    </xf>
    <xf numFmtId="49" fontId="76" fillId="0" borderId="6" xfId="0" applyNumberFormat="1" applyFont="1" applyBorder="1" applyAlignment="1">
      <alignment vertical="top" wrapText="1"/>
    </xf>
    <xf numFmtId="49" fontId="76" fillId="0" borderId="4" xfId="0" applyNumberFormat="1" applyFont="1" applyBorder="1" applyAlignment="1">
      <alignment vertical="top" wrapText="1"/>
    </xf>
    <xf numFmtId="49" fontId="107" fillId="0" borderId="0" xfId="0" applyNumberFormat="1" applyFont="1" applyAlignment="1">
      <alignment horizontal="center" vertical="top" wrapText="1"/>
    </xf>
    <xf numFmtId="0" fontId="76" fillId="0" borderId="3" xfId="0" applyNumberFormat="1" applyFont="1" applyBorder="1" applyAlignment="1">
      <alignment horizontal="center" vertical="center"/>
    </xf>
    <xf numFmtId="0" fontId="76" fillId="0" borderId="3" xfId="0" applyNumberFormat="1" applyFont="1" applyBorder="1" applyAlignment="1">
      <alignment horizontal="left" vertical="center" wrapText="1" indent="1"/>
    </xf>
    <xf numFmtId="4" fontId="28" fillId="0" borderId="22" xfId="0" applyNumberFormat="1" applyFont="1" applyBorder="1" applyAlignment="1">
      <alignment horizontal="right" vertical="center" wrapText="1"/>
    </xf>
    <xf numFmtId="49" fontId="28" fillId="0" borderId="6" xfId="0" applyNumberFormat="1" applyFont="1" applyBorder="1" applyAlignment="1">
      <alignment horizontal="left" vertical="center" indent="1"/>
    </xf>
    <xf numFmtId="49" fontId="76" fillId="0" borderId="43" xfId="0" applyNumberFormat="1" applyFont="1" applyBorder="1" applyAlignment="1">
      <alignment vertical="top" wrapText="1"/>
    </xf>
    <xf numFmtId="49" fontId="76" fillId="0" borderId="43" xfId="0" applyNumberFormat="1" applyFont="1" applyBorder="1" applyAlignment="1">
      <alignment horizontal="left" vertical="center" indent="1"/>
    </xf>
    <xf numFmtId="49" fontId="0" fillId="13" borderId="27" xfId="0" applyNumberFormat="1" applyFont="1" applyFill="1" applyBorder="1" applyAlignment="1">
      <alignment horizontal="left" vertical="center" wrapText="1"/>
    </xf>
    <xf numFmtId="49" fontId="5" fillId="0" borderId="3" xfId="0" applyNumberFormat="1" applyFont="1" applyBorder="1" applyAlignment="1">
      <alignment horizontal="center" vertical="center" wrapText="1"/>
    </xf>
    <xf numFmtId="49" fontId="108" fillId="0" borderId="3" xfId="0" applyNumberFormat="1" applyFont="1" applyBorder="1" applyAlignment="1">
      <alignment horizontal="center" vertical="center" wrapText="1"/>
    </xf>
    <xf numFmtId="49" fontId="108" fillId="0" borderId="8" xfId="0" applyNumberFormat="1" applyFont="1" applyBorder="1" applyAlignment="1">
      <alignment horizontal="center" vertical="center" wrapText="1"/>
    </xf>
    <xf numFmtId="0" fontId="5" fillId="27" borderId="3" xfId="12" applyFont="1" applyFill="1" applyBorder="1" applyAlignment="1">
      <alignment vertical="center"/>
    </xf>
    <xf numFmtId="0" fontId="28" fillId="28" borderId="3" xfId="0" applyNumberFormat="1" applyFont="1" applyFill="1" applyBorder="1" applyAlignment="1">
      <alignment horizontal="left" vertical="center" wrapText="1"/>
    </xf>
    <xf numFmtId="0" fontId="73" fillId="0" borderId="0" xfId="0" applyNumberFormat="1" applyFont="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5" fillId="0" borderId="0" xfId="0" applyNumberFormat="1" applyFont="1" applyAlignment="1">
      <alignment vertical="center" wrapText="1"/>
    </xf>
    <xf numFmtId="49" fontId="0" fillId="4" borderId="3" xfId="0" applyNumberFormat="1" applyFont="1" applyFill="1" applyBorder="1" applyAlignment="1">
      <alignment horizontal="center" vertical="center" wrapText="1"/>
    </xf>
    <xf numFmtId="49" fontId="17" fillId="0" borderId="0" xfId="0" applyNumberFormat="1" applyFont="1" applyAlignment="1">
      <alignment horizontal="center" vertical="center" wrapText="1"/>
    </xf>
    <xf numFmtId="0" fontId="5" fillId="0" borderId="5" xfId="0" applyNumberFormat="1" applyFont="1" applyBorder="1" applyAlignment="1">
      <alignment horizontal="center"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8" xfId="0" applyNumberFormat="1" applyFont="1" applyBorder="1" applyAlignment="1">
      <alignment horizontal="left" vertical="center" wrapText="1"/>
    </xf>
    <xf numFmtId="0" fontId="0" fillId="0" borderId="5" xfId="0" applyNumberFormat="1" applyFont="1" applyBorder="1" applyAlignment="1">
      <alignment horizontal="center" vertical="center" wrapText="1"/>
    </xf>
    <xf numFmtId="0" fontId="0" fillId="0" borderId="3" xfId="0" applyNumberFormat="1" applyFont="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0" borderId="10" xfId="0" applyNumberFormat="1" applyFont="1" applyBorder="1" applyAlignment="1">
      <alignment horizontal="right" vertical="center" wrapText="1" indent="1"/>
    </xf>
    <xf numFmtId="4" fontId="5" fillId="12" borderId="28" xfId="0" applyNumberFormat="1" applyFont="1" applyFill="1" applyBorder="1" applyAlignment="1" applyProtection="1">
      <alignment horizontal="right" vertical="center" wrapText="1"/>
      <protection locked="0"/>
    </xf>
    <xf numFmtId="3" fontId="5" fillId="12" borderId="5" xfId="0" applyNumberFormat="1" applyFont="1" applyFill="1" applyBorder="1" applyAlignment="1" applyProtection="1">
      <alignment horizontal="right" vertical="center" wrapText="1"/>
      <protection locked="0"/>
    </xf>
    <xf numFmtId="0" fontId="28" fillId="10" borderId="6" xfId="0" applyNumberFormat="1" applyFont="1" applyFill="1" applyBorder="1" applyAlignment="1">
      <alignment vertical="center" wrapText="1"/>
    </xf>
    <xf numFmtId="0" fontId="5" fillId="0" borderId="3" xfId="0" applyNumberFormat="1" applyFont="1" applyBorder="1" applyAlignment="1">
      <alignment horizontal="center" vertical="center" wrapText="1"/>
    </xf>
    <xf numFmtId="0" fontId="5" fillId="0" borderId="8" xfId="0" applyNumberFormat="1" applyFont="1" applyBorder="1" applyAlignment="1">
      <alignment horizontal="center" vertical="center" wrapText="1"/>
    </xf>
    <xf numFmtId="0" fontId="5" fillId="0" borderId="5" xfId="0" applyNumberFormat="1" applyFont="1" applyBorder="1" applyAlignment="1">
      <alignment horizontal="left" vertical="center" wrapText="1"/>
    </xf>
    <xf numFmtId="0" fontId="5" fillId="0" borderId="14" xfId="0" applyNumberFormat="1" applyFont="1" applyBorder="1" applyAlignment="1">
      <alignment horizontal="center" vertical="center" wrapText="1"/>
    </xf>
    <xf numFmtId="0" fontId="5" fillId="0" borderId="5"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2"/>
    </xf>
    <xf numFmtId="49" fontId="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49" fontId="5" fillId="0" borderId="0" xfId="0" applyNumberFormat="1" applyFont="1" applyAlignment="1">
      <alignment horizontal="center" vertical="center" wrapText="1"/>
    </xf>
    <xf numFmtId="0" fontId="0" fillId="0" borderId="4"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5" fillId="13" borderId="3" xfId="0" applyNumberFormat="1" applyFont="1" applyFill="1" applyBorder="1" applyAlignment="1">
      <alignment horizontal="left" vertical="center" wrapText="1"/>
    </xf>
    <xf numFmtId="0" fontId="0" fillId="0" borderId="27" xfId="0" applyNumberFormat="1" applyFont="1" applyBorder="1" applyAlignment="1">
      <alignment horizontal="center" vertical="center" wrapText="1"/>
    </xf>
    <xf numFmtId="0" fontId="29" fillId="0" borderId="0" xfId="0" applyNumberFormat="1" applyFont="1" applyAlignment="1">
      <alignment horizontal="center" vertical="center" wrapText="1"/>
    </xf>
    <xf numFmtId="49" fontId="5" fillId="0" borderId="0" xfId="0" applyNumberFormat="1" applyFont="1" applyAlignment="1">
      <alignment vertical="center" wrapText="1"/>
    </xf>
    <xf numFmtId="0" fontId="5" fillId="0" borderId="0" xfId="0" applyNumberFormat="1" applyFont="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5" fillId="0" borderId="3" xfId="0" applyNumberFormat="1" applyFont="1" applyBorder="1" applyAlignment="1">
      <alignment horizontal="left" vertical="center" wrapText="1"/>
    </xf>
    <xf numFmtId="49" fontId="5" fillId="12" borderId="3" xfId="0" applyNumberFormat="1" applyFont="1" applyFill="1" applyBorder="1" applyAlignment="1" applyProtection="1">
      <alignment horizontal="left" vertical="center" wrapText="1"/>
      <protection locked="0"/>
    </xf>
    <xf numFmtId="0" fontId="0" fillId="12" borderId="3" xfId="0" applyNumberFormat="1" applyFont="1" applyFill="1" applyBorder="1" applyAlignment="1" applyProtection="1">
      <alignment horizontal="left" vertical="center" wrapText="1"/>
      <protection locked="0"/>
    </xf>
    <xf numFmtId="49" fontId="5" fillId="12" borderId="3" xfId="0" applyNumberFormat="1" applyFont="1" applyFill="1" applyBorder="1" applyAlignment="1" applyProtection="1">
      <alignment horizontal="left" vertical="center" wrapText="1" indent="1"/>
      <protection locked="0"/>
    </xf>
    <xf numFmtId="0" fontId="28" fillId="0" borderId="0" xfId="0" applyNumberFormat="1" applyFont="1" applyAlignment="1">
      <alignment horizontal="center" vertical="center" wrapText="1"/>
    </xf>
    <xf numFmtId="49" fontId="0" fillId="0" borderId="16" xfId="0" applyNumberFormat="1" applyFont="1" applyBorder="1" applyAlignment="1">
      <alignment horizontal="center" vertical="center"/>
    </xf>
    <xf numFmtId="49" fontId="0" fillId="0" borderId="3" xfId="13" applyNumberFormat="1" applyFont="1" applyBorder="1">
      <alignment vertical="top"/>
    </xf>
    <xf numFmtId="49" fontId="0" fillId="0" borderId="5" xfId="13" applyNumberFormat="1" applyFont="1" applyBorder="1">
      <alignment vertical="top"/>
    </xf>
    <xf numFmtId="49" fontId="0" fillId="16" borderId="8" xfId="13" applyNumberFormat="1" applyFont="1" applyFill="1" applyBorder="1">
      <alignment vertical="top"/>
    </xf>
    <xf numFmtId="49" fontId="0" fillId="17" borderId="3" xfId="13" applyNumberFormat="1" applyFont="1" applyFill="1" applyBorder="1">
      <alignment vertical="top"/>
    </xf>
    <xf numFmtId="49" fontId="0" fillId="0" borderId="6" xfId="13" applyNumberFormat="1" applyFont="1" applyBorder="1" applyAlignment="1">
      <alignment horizontal="center" vertical="top"/>
    </xf>
    <xf numFmtId="49" fontId="0" fillId="2" borderId="3" xfId="13" applyNumberFormat="1" applyFont="1" applyFill="1" applyBorder="1">
      <alignment vertical="top"/>
    </xf>
    <xf numFmtId="49" fontId="0" fillId="18" borderId="3" xfId="13" applyNumberFormat="1" applyFont="1" applyFill="1" applyBorder="1">
      <alignment vertical="top"/>
    </xf>
    <xf numFmtId="49" fontId="0" fillId="5" borderId="8" xfId="13" applyNumberFormat="1" applyFont="1" applyFill="1" applyBorder="1">
      <alignment vertical="top"/>
    </xf>
    <xf numFmtId="49" fontId="0" fillId="3" borderId="5" xfId="13" applyNumberFormat="1" applyFont="1" applyFill="1" applyBorder="1">
      <alignment vertical="top"/>
    </xf>
    <xf numFmtId="49" fontId="0" fillId="3" borderId="3" xfId="13" applyNumberFormat="1" applyFont="1" applyFill="1" applyBorder="1">
      <alignment vertical="top"/>
    </xf>
    <xf numFmtId="49" fontId="0" fillId="5" borderId="3" xfId="13" applyNumberFormat="1" applyFont="1" applyFill="1" applyBorder="1">
      <alignment vertical="top"/>
    </xf>
    <xf numFmtId="0" fontId="11" fillId="0" borderId="0" xfId="0" applyNumberFormat="1" applyFont="1" applyAlignment="1"/>
    <xf numFmtId="168" fontId="0" fillId="12" borderId="3"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0" fillId="8" borderId="3" xfId="0" applyNumberFormat="1" applyFont="1" applyFill="1" applyBorder="1" applyAlignment="1">
      <alignment horizontal="left" vertical="center" wrapText="1"/>
    </xf>
    <xf numFmtId="0" fontId="21" fillId="10" borderId="5"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21" fillId="10" borderId="6" xfId="0" applyNumberFormat="1" applyFont="1" applyFill="1" applyBorder="1" applyAlignment="1">
      <alignment horizontal="lef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0" fillId="10" borderId="6" xfId="0" applyNumberFormat="1" applyFont="1" applyFill="1" applyBorder="1" applyAlignment="1">
      <alignment vertical="center"/>
    </xf>
    <xf numFmtId="0" fontId="21" fillId="10" borderId="4" xfId="0" applyNumberFormat="1" applyFont="1" applyFill="1" applyBorder="1" applyAlignment="1">
      <alignment horizontal="left" vertical="center"/>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6"/>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5"/>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55" fillId="10" borderId="5"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4"/>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6" xfId="0" applyNumberFormat="1" applyFont="1" applyFill="1" applyBorder="1" applyAlignment="1">
      <alignment horizontal="center" vertical="center" wrapText="1"/>
    </xf>
    <xf numFmtId="49" fontId="5" fillId="10" borderId="6" xfId="0" applyNumberFormat="1" applyFont="1" applyFill="1" applyBorder="1" applyAlignment="1">
      <alignment horizontal="center" vertical="center" wrapText="1"/>
    </xf>
    <xf numFmtId="49" fontId="0" fillId="10" borderId="4" xfId="0" applyNumberFormat="1" applyFont="1" applyFill="1" applyBorder="1" applyAlignment="1">
      <alignment horizontal="center" vertical="center" wrapText="1"/>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9" fillId="12" borderId="3" xfId="0" applyNumberFormat="1" applyFont="1" applyFill="1" applyBorder="1" applyAlignment="1" applyProtection="1">
      <alignment horizontal="left" vertical="center" wrapText="1"/>
      <protection locked="0"/>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49" fontId="21" fillId="10" borderId="18" xfId="0" applyNumberFormat="1" applyFont="1" applyFill="1" applyBorder="1" applyAlignment="1">
      <alignment horizontal="left" vertical="center"/>
    </xf>
    <xf numFmtId="49" fontId="21" fillId="10" borderId="6" xfId="0" applyNumberFormat="1" applyFont="1" applyFill="1" applyBorder="1" applyAlignment="1">
      <alignment horizontal="left" vertical="center"/>
    </xf>
    <xf numFmtId="49" fontId="21" fillId="10" borderId="6" xfId="0" applyNumberFormat="1" applyFont="1" applyFill="1" applyBorder="1" applyAlignment="1">
      <alignment horizontal="left" vertical="center" indent="2"/>
    </xf>
    <xf numFmtId="49" fontId="21" fillId="10" borderId="18" xfId="0" applyNumberFormat="1" applyFont="1" applyFill="1" applyBorder="1" applyAlignment="1">
      <alignment horizontal="left" vertical="center"/>
    </xf>
    <xf numFmtId="49" fontId="25" fillId="10" borderId="4" xfId="0" applyNumberFormat="1" applyFont="1" applyFill="1" applyBorder="1" applyAlignment="1">
      <alignment horizontal="center" vertical="top"/>
    </xf>
    <xf numFmtId="0" fontId="27" fillId="19" borderId="58" xfId="0" applyNumberFormat="1" applyFont="1" applyFill="1" applyBorder="1" applyAlignment="1">
      <alignment horizontal="right" vertical="center" wrapText="1" indent="1"/>
    </xf>
    <xf numFmtId="0" fontId="27" fillId="19" borderId="29" xfId="0" applyNumberFormat="1" applyFont="1" applyFill="1" applyBorder="1" applyAlignment="1">
      <alignment horizontal="right" vertical="center" wrapText="1" indent="1"/>
    </xf>
    <xf numFmtId="0" fontId="27" fillId="19" borderId="0" xfId="0" applyNumberFormat="1" applyFont="1" applyFill="1" applyAlignment="1">
      <alignment horizontal="right" vertical="center" wrapText="1" indent="1"/>
    </xf>
    <xf numFmtId="0" fontId="102" fillId="0" borderId="0" xfId="0" applyNumberFormat="1" applyFont="1" applyAlignment="1">
      <alignment vertical="center" wrapText="1"/>
    </xf>
    <xf numFmtId="0" fontId="27" fillId="19" borderId="57" xfId="0" applyNumberFormat="1" applyFont="1" applyFill="1" applyBorder="1" applyAlignment="1">
      <alignment horizontal="right" vertical="center" wrapText="1" indent="1"/>
    </xf>
    <xf numFmtId="0" fontId="27" fillId="19" borderId="53" xfId="0" applyNumberFormat="1" applyFont="1" applyFill="1" applyBorder="1" applyAlignment="1">
      <alignment horizontal="right" vertical="center" wrapText="1" indent="1"/>
    </xf>
    <xf numFmtId="0" fontId="27" fillId="19" borderId="30" xfId="0" applyNumberFormat="1" applyFont="1" applyFill="1" applyBorder="1" applyAlignment="1">
      <alignment horizontal="right" vertical="center" wrapText="1" indent="1"/>
    </xf>
    <xf numFmtId="0" fontId="102" fillId="0" borderId="0" xfId="0" applyNumberFormat="1" applyFont="1" applyAlignment="1">
      <alignment vertical="top" wrapText="1"/>
    </xf>
    <xf numFmtId="49" fontId="48" fillId="0" borderId="0" xfId="0" applyNumberFormat="1" applyFont="1" applyAlignment="1">
      <alignment vertical="top" wrapText="1"/>
    </xf>
    <xf numFmtId="0" fontId="84" fillId="0" borderId="0" xfId="0" applyNumberFormat="1" applyFont="1" applyAlignment="1">
      <alignment vertical="center" wrapText="1"/>
    </xf>
    <xf numFmtId="0" fontId="84" fillId="0" borderId="0" xfId="0" applyNumberFormat="1" applyFont="1" applyAlignment="1">
      <alignment vertical="center"/>
    </xf>
    <xf numFmtId="0" fontId="27" fillId="29" borderId="54" xfId="0" applyNumberFormat="1" applyFont="1" applyFill="1" applyBorder="1" applyAlignment="1">
      <alignment horizontal="center" vertical="center" wrapText="1"/>
    </xf>
    <xf numFmtId="0" fontId="27" fillId="29" borderId="55" xfId="0" applyNumberFormat="1" applyFont="1" applyFill="1" applyBorder="1" applyAlignment="1">
      <alignment horizontal="center" vertical="center" wrapText="1"/>
    </xf>
    <xf numFmtId="0" fontId="27" fillId="29" borderId="56" xfId="0" applyNumberFormat="1" applyFont="1" applyFill="1" applyBorder="1" applyAlignment="1">
      <alignment horizontal="center" vertical="center" wrapText="1"/>
    </xf>
    <xf numFmtId="0" fontId="102" fillId="0" borderId="29" xfId="0" applyNumberFormat="1" applyFont="1" applyBorder="1" applyAlignment="1">
      <alignment vertical="center" wrapText="1"/>
    </xf>
    <xf numFmtId="0" fontId="102" fillId="0" borderId="29" xfId="0" applyNumberFormat="1" applyFont="1" applyBorder="1" applyAlignment="1">
      <alignment horizontal="left" vertical="center" wrapText="1"/>
    </xf>
    <xf numFmtId="0" fontId="102" fillId="0" borderId="0" xfId="0" applyNumberFormat="1" applyFont="1" applyAlignment="1">
      <alignment horizontal="left" vertical="center" wrapText="1"/>
    </xf>
    <xf numFmtId="0" fontId="5" fillId="0" borderId="4" xfId="0" applyNumberFormat="1" applyFont="1" applyBorder="1" applyAlignment="1">
      <alignment horizontal="center" vertical="center" wrapText="1"/>
    </xf>
    <xf numFmtId="0" fontId="5" fillId="0" borderId="5" xfId="0" applyNumberFormat="1" applyFont="1" applyBorder="1" applyAlignment="1">
      <alignment horizontal="center" vertical="center" wrapText="1"/>
    </xf>
    <xf numFmtId="0" fontId="78" fillId="0" borderId="0" xfId="0" applyNumberFormat="1" applyFont="1" applyAlignment="1">
      <alignment horizontal="left" vertical="center" wrapText="1"/>
    </xf>
    <xf numFmtId="14" fontId="75" fillId="0" borderId="3" xfId="0" applyNumberFormat="1" applyFont="1" applyBorder="1" applyAlignment="1">
      <alignment horizontal="center" vertical="center" wrapText="1"/>
    </xf>
    <xf numFmtId="0" fontId="5" fillId="0" borderId="0" xfId="0" applyNumberFormat="1" applyFont="1" applyAlignment="1">
      <alignment horizontal="center" vertical="center" wrapText="1"/>
    </xf>
    <xf numFmtId="0" fontId="5" fillId="0" borderId="6" xfId="0" applyNumberFormat="1" applyFont="1" applyBorder="1" applyAlignment="1">
      <alignment horizontal="left" vertical="center" wrapText="1" indent="1"/>
    </xf>
    <xf numFmtId="0" fontId="5" fillId="0" borderId="6" xfId="0" applyNumberFormat="1" applyFont="1" applyBorder="1" applyAlignment="1">
      <alignment horizontal="center" vertical="center" wrapText="1"/>
    </xf>
    <xf numFmtId="4" fontId="5" fillId="0" borderId="3" xfId="0" applyNumberFormat="1" applyFont="1" applyBorder="1" applyAlignment="1">
      <alignment horizontal="center" vertical="center" wrapText="1"/>
    </xf>
    <xf numFmtId="49" fontId="17" fillId="0" borderId="60" xfId="0" applyNumberFormat="1" applyFont="1" applyBorder="1" applyAlignment="1">
      <alignment horizontal="center" vertical="center" wrapText="1"/>
    </xf>
    <xf numFmtId="49" fontId="17" fillId="0" borderId="61" xfId="0" applyNumberFormat="1" applyFont="1" applyBorder="1" applyAlignment="1">
      <alignment horizontal="center" vertical="center" wrapText="1"/>
    </xf>
    <xf numFmtId="49" fontId="17" fillId="0" borderId="5" xfId="0" applyNumberFormat="1" applyFont="1" applyBorder="1" applyAlignment="1">
      <alignment horizontal="center" vertical="center" wrapText="1"/>
    </xf>
    <xf numFmtId="49" fontId="17" fillId="0" borderId="4" xfId="0" applyNumberFormat="1" applyFont="1" applyBorder="1" applyAlignment="1">
      <alignment horizontal="center" vertical="center" wrapText="1"/>
    </xf>
    <xf numFmtId="0" fontId="5" fillId="0" borderId="11" xfId="0" applyNumberFormat="1" applyFont="1" applyBorder="1" applyAlignment="1">
      <alignment horizontal="left" vertical="center" wrapText="1" indent="1"/>
    </xf>
    <xf numFmtId="0" fontId="5" fillId="0" borderId="8" xfId="0" applyNumberFormat="1" applyFont="1" applyBorder="1" applyAlignment="1">
      <alignment horizontal="left" vertical="center" wrapText="1" indent="1"/>
    </xf>
    <xf numFmtId="0" fontId="5" fillId="0" borderId="28" xfId="0" applyNumberFormat="1" applyFont="1" applyBorder="1" applyAlignment="1">
      <alignment horizontal="left" vertical="center" wrapText="1" indent="1"/>
    </xf>
    <xf numFmtId="0" fontId="5" fillId="0" borderId="20" xfId="0" applyNumberFormat="1" applyFont="1" applyBorder="1" applyAlignment="1">
      <alignment horizontal="left" vertical="center" indent="1"/>
    </xf>
    <xf numFmtId="0" fontId="5" fillId="0" borderId="14" xfId="0" applyNumberFormat="1" applyFont="1" applyBorder="1" applyAlignment="1">
      <alignment horizontal="left" vertical="center" indent="1"/>
    </xf>
    <xf numFmtId="0" fontId="5" fillId="0" borderId="21" xfId="0" applyNumberFormat="1" applyFont="1" applyBorder="1" applyAlignment="1">
      <alignment horizontal="left" vertical="center" indent="1"/>
    </xf>
    <xf numFmtId="0" fontId="5" fillId="15" borderId="0" xfId="0" applyNumberFormat="1" applyFont="1" applyFill="1" applyAlignment="1">
      <alignment horizontal="center" vertical="center" wrapText="1"/>
    </xf>
    <xf numFmtId="0" fontId="5" fillId="0" borderId="3" xfId="0" applyNumberFormat="1" applyFont="1" applyBorder="1" applyAlignment="1">
      <alignment horizontal="center" vertical="center" wrapText="1"/>
    </xf>
    <xf numFmtId="0" fontId="57" fillId="0" borderId="28" xfId="0" applyNumberFormat="1" applyFont="1" applyBorder="1" applyAlignment="1">
      <alignment horizontal="center" vertical="center" wrapText="1"/>
    </xf>
    <xf numFmtId="0" fontId="57" fillId="0" borderId="10" xfId="0" applyNumberFormat="1" applyFont="1" applyBorder="1" applyAlignment="1">
      <alignment horizontal="center" vertical="center" wrapText="1"/>
    </xf>
    <xf numFmtId="0" fontId="0" fillId="0" borderId="0" xfId="0" applyNumberFormat="1" applyFont="1" applyAlignment="1">
      <alignment horizontal="left" vertical="center" wrapText="1" indent="2"/>
    </xf>
    <xf numFmtId="0" fontId="0" fillId="0" borderId="0" xfId="0" applyNumberFormat="1" applyFont="1" applyAlignment="1">
      <alignment horizontal="left" vertical="center" indent="2"/>
    </xf>
    <xf numFmtId="0" fontId="57" fillId="0" borderId="3" xfId="0" applyNumberFormat="1" applyFont="1" applyBorder="1" applyAlignment="1">
      <alignment horizontal="center" vertical="center" wrapText="1"/>
    </xf>
    <xf numFmtId="0" fontId="5" fillId="0" borderId="62" xfId="0" applyNumberFormat="1" applyFont="1" applyBorder="1" applyAlignment="1">
      <alignment horizontal="center" vertical="center" wrapText="1"/>
    </xf>
    <xf numFmtId="0" fontId="5" fillId="0" borderId="6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1"/>
    </xf>
    <xf numFmtId="0" fontId="5" fillId="13" borderId="14"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center" wrapText="1"/>
    </xf>
    <xf numFmtId="49" fontId="5" fillId="0" borderId="3" xfId="0" applyNumberFormat="1" applyFont="1" applyBorder="1" applyAlignment="1">
      <alignment horizontal="center" vertical="center" wrapText="1"/>
    </xf>
    <xf numFmtId="0" fontId="5" fillId="13" borderId="8" xfId="0" applyNumberFormat="1" applyFont="1" applyFill="1" applyBorder="1" applyAlignment="1">
      <alignment horizontal="left" vertical="center" wrapText="1" indent="2"/>
    </xf>
    <xf numFmtId="0" fontId="5" fillId="13" borderId="27" xfId="0" applyNumberFormat="1" applyFont="1" applyFill="1" applyBorder="1" applyAlignment="1">
      <alignment horizontal="left" vertical="center" wrapText="1" indent="2"/>
    </xf>
    <xf numFmtId="0" fontId="5" fillId="13" borderId="14" xfId="0" applyNumberFormat="1" applyFont="1" applyFill="1" applyBorder="1" applyAlignment="1">
      <alignment horizontal="left" vertical="center" wrapText="1" indent="2"/>
    </xf>
    <xf numFmtId="49" fontId="5" fillId="13" borderId="14" xfId="0" applyNumberFormat="1" applyFont="1" applyFill="1" applyBorder="1" applyAlignment="1">
      <alignment horizontal="center" vertical="center" wrapText="1"/>
    </xf>
    <xf numFmtId="14" fontId="63" fillId="0" borderId="59" xfId="0" applyNumberFormat="1" applyFont="1" applyBorder="1" applyAlignment="1">
      <alignment horizontal="center" vertical="center" wrapText="1"/>
    </xf>
    <xf numFmtId="0" fontId="5" fillId="0" borderId="59" xfId="0" applyNumberFormat="1" applyFont="1" applyBorder="1" applyAlignment="1">
      <alignment horizontal="center" vertical="center" wrapText="1"/>
    </xf>
    <xf numFmtId="49" fontId="0" fillId="0" borderId="10" xfId="0" applyNumberFormat="1" applyFont="1" applyBorder="1" applyAlignment="1">
      <alignment horizontal="left" vertical="center" wrapText="1"/>
    </xf>
    <xf numFmtId="49" fontId="0" fillId="0" borderId="0" xfId="0" applyNumberFormat="1" applyFont="1" applyAlignment="1">
      <alignment horizontal="left" vertical="center" wrapText="1"/>
    </xf>
    <xf numFmtId="49" fontId="5" fillId="0" borderId="10" xfId="0" applyNumberFormat="1" applyFont="1" applyBorder="1" applyAlignment="1">
      <alignment horizontal="center" vertical="center" wrapText="1"/>
    </xf>
    <xf numFmtId="49" fontId="5" fillId="0" borderId="0" xfId="0" applyNumberFormat="1" applyFont="1" applyAlignment="1">
      <alignment horizontal="center" vertical="center" wrapText="1"/>
    </xf>
    <xf numFmtId="0" fontId="5" fillId="0" borderId="3" xfId="0" applyNumberFormat="1" applyFont="1" applyBorder="1" applyAlignment="1">
      <alignment horizontal="left" vertical="top" wrapText="1"/>
    </xf>
    <xf numFmtId="49" fontId="0" fillId="0" borderId="3" xfId="0" applyNumberFormat="1" applyFont="1" applyBorder="1" applyAlignment="1">
      <alignment horizontal="left" vertical="top"/>
    </xf>
    <xf numFmtId="0" fontId="0" fillId="0" borderId="28" xfId="0" applyNumberFormat="1" applyFont="1" applyBorder="1" applyAlignment="1">
      <alignment horizontal="center" vertical="center"/>
    </xf>
    <xf numFmtId="0" fontId="0" fillId="0" borderId="13" xfId="0" applyNumberFormat="1" applyFont="1" applyBorder="1" applyAlignment="1">
      <alignment horizontal="center" vertical="center"/>
    </xf>
    <xf numFmtId="0" fontId="0" fillId="0" borderId="10" xfId="0" applyNumberFormat="1" applyFont="1" applyBorder="1" applyAlignment="1">
      <alignment horizontal="center" vertical="center"/>
    </xf>
    <xf numFmtId="0" fontId="0" fillId="0" borderId="0" xfId="0" applyNumberFormat="1" applyFont="1" applyAlignment="1">
      <alignment horizontal="center" vertical="center"/>
    </xf>
    <xf numFmtId="49" fontId="5" fillId="0" borderId="10" xfId="0" applyNumberFormat="1" applyFont="1" applyBorder="1" applyAlignment="1">
      <alignment horizontal="left" vertical="center" wrapText="1"/>
    </xf>
    <xf numFmtId="49" fontId="5" fillId="0" borderId="0" xfId="0" applyNumberFormat="1" applyFont="1" applyAlignment="1">
      <alignment horizontal="left" vertical="center" wrapText="1"/>
    </xf>
    <xf numFmtId="49" fontId="0" fillId="0" borderId="0" xfId="0" applyNumberFormat="1" applyFont="1" applyAlignment="1">
      <alignment horizontal="left" vertical="top"/>
    </xf>
    <xf numFmtId="0" fontId="0" fillId="0" borderId="10" xfId="0" applyNumberFormat="1" applyFont="1" applyBorder="1" applyAlignment="1">
      <alignment horizontal="left" vertical="center" wrapText="1"/>
    </xf>
    <xf numFmtId="0" fontId="0" fillId="0" borderId="0" xfId="0" applyNumberFormat="1" applyFont="1" applyAlignment="1">
      <alignment horizontal="left" vertical="center" wrapText="1"/>
    </xf>
    <xf numFmtId="0" fontId="0" fillId="0" borderId="3" xfId="0" applyNumberFormat="1" applyFont="1" applyBorder="1" applyAlignment="1">
      <alignment horizontal="center" vertical="top"/>
    </xf>
    <xf numFmtId="49" fontId="0" fillId="0" borderId="3" xfId="0" applyNumberFormat="1" applyFont="1" applyBorder="1">
      <alignment vertical="top"/>
    </xf>
    <xf numFmtId="0" fontId="5" fillId="13" borderId="8" xfId="0" applyNumberFormat="1" applyFont="1" applyFill="1" applyBorder="1" applyAlignment="1">
      <alignment horizontal="center" vertical="top" wrapText="1"/>
    </xf>
    <xf numFmtId="0" fontId="5" fillId="13" borderId="27" xfId="0" applyNumberFormat="1" applyFont="1" applyFill="1" applyBorder="1" applyAlignment="1">
      <alignment horizontal="center" vertical="top" wrapText="1"/>
    </xf>
    <xf numFmtId="0" fontId="5" fillId="13" borderId="14" xfId="0" applyNumberFormat="1" applyFont="1" applyFill="1" applyBorder="1" applyAlignment="1">
      <alignment horizontal="center" vertical="top" wrapText="1"/>
    </xf>
    <xf numFmtId="0" fontId="0" fillId="0" borderId="0" xfId="0" quotePrefix="1" applyNumberFormat="1" applyFont="1" applyAlignment="1">
      <alignment horizontal="left" vertical="top" wrapText="1" indent="1"/>
    </xf>
    <xf numFmtId="0" fontId="0" fillId="0" borderId="0" xfId="0" applyNumberFormat="1" applyFont="1" applyAlignment="1">
      <alignment horizontal="left" vertical="top" wrapText="1" indent="1"/>
    </xf>
    <xf numFmtId="0" fontId="0" fillId="0" borderId="0" xfId="0" applyNumberFormat="1" applyFont="1" applyAlignment="1">
      <alignment horizontal="left" vertical="top" wrapText="1"/>
    </xf>
    <xf numFmtId="0" fontId="0" fillId="0" borderId="8" xfId="0" applyNumberFormat="1" applyFont="1" applyBorder="1" applyAlignment="1">
      <alignment horizontal="center" vertical="top"/>
    </xf>
    <xf numFmtId="0" fontId="0" fillId="0" borderId="27" xfId="0" applyNumberFormat="1" applyFont="1" applyBorder="1" applyAlignment="1">
      <alignment horizontal="center" vertical="top"/>
    </xf>
    <xf numFmtId="0" fontId="0" fillId="0" borderId="14" xfId="0" applyNumberFormat="1" applyFont="1" applyBorder="1" applyAlignment="1">
      <alignment horizontal="center" vertical="top"/>
    </xf>
    <xf numFmtId="0" fontId="5" fillId="0" borderId="8" xfId="0" applyNumberFormat="1" applyFont="1" applyBorder="1" applyAlignment="1">
      <alignment horizontal="left" vertical="top" wrapText="1"/>
    </xf>
    <xf numFmtId="0" fontId="5" fillId="0" borderId="27" xfId="0" applyNumberFormat="1" applyFont="1" applyBorder="1" applyAlignment="1">
      <alignment horizontal="left" vertical="top" wrapText="1"/>
    </xf>
    <xf numFmtId="0" fontId="5" fillId="0" borderId="14" xfId="0" applyNumberFormat="1" applyFont="1" applyBorder="1" applyAlignment="1">
      <alignment horizontal="left" vertical="top" wrapText="1"/>
    </xf>
    <xf numFmtId="49" fontId="0" fillId="0" borderId="27" xfId="0" applyNumberFormat="1" applyFont="1" applyBorder="1">
      <alignment vertical="top"/>
    </xf>
    <xf numFmtId="0" fontId="5" fillId="12" borderId="3" xfId="0" applyNumberFormat="1" applyFont="1" applyFill="1" applyBorder="1" applyAlignment="1" applyProtection="1">
      <alignment horizontal="left" vertical="top" wrapText="1"/>
      <protection locked="0"/>
    </xf>
    <xf numFmtId="0" fontId="0" fillId="12" borderId="3" xfId="0" applyNumberFormat="1" applyFont="1" applyFill="1" applyBorder="1" applyAlignment="1" applyProtection="1">
      <alignment horizontal="left" vertical="top"/>
      <protection locked="0"/>
    </xf>
    <xf numFmtId="49" fontId="0" fillId="0" borderId="27" xfId="0" applyNumberFormat="1" applyFont="1" applyBorder="1" applyAlignment="1">
      <alignment horizontal="left" vertical="top"/>
    </xf>
    <xf numFmtId="49" fontId="29" fillId="8" borderId="18" xfId="0" applyNumberFormat="1" applyFont="1" applyFill="1" applyBorder="1" applyAlignment="1">
      <alignment horizontal="center" vertical="center" wrapText="1"/>
    </xf>
    <xf numFmtId="0" fontId="5" fillId="0" borderId="11" xfId="0" applyNumberFormat="1" applyFont="1" applyBorder="1" applyAlignment="1">
      <alignment horizontal="left" vertical="top" wrapText="1" indent="1"/>
    </xf>
    <xf numFmtId="0" fontId="5" fillId="0" borderId="8" xfId="0" applyNumberFormat="1" applyFont="1" applyBorder="1" applyAlignment="1">
      <alignment horizontal="left" vertical="top" wrapText="1" indent="1"/>
    </xf>
    <xf numFmtId="0" fontId="5" fillId="0" borderId="28" xfId="0" applyNumberFormat="1" applyFont="1" applyBorder="1" applyAlignment="1">
      <alignment horizontal="left" vertical="top" wrapText="1" indent="1"/>
    </xf>
    <xf numFmtId="0" fontId="54" fillId="0" borderId="15" xfId="0" applyNumberFormat="1" applyFont="1" applyBorder="1" applyAlignment="1">
      <alignment horizontal="left" vertical="center" wrapText="1" indent="1"/>
    </xf>
    <xf numFmtId="0" fontId="54" fillId="0" borderId="27" xfId="0" applyNumberFormat="1" applyFont="1" applyBorder="1" applyAlignment="1">
      <alignment horizontal="left" vertical="center" wrapText="1" indent="1"/>
    </xf>
    <xf numFmtId="0" fontId="54" fillId="0" borderId="13" xfId="0" applyNumberFormat="1" applyFont="1" applyBorder="1" applyAlignment="1">
      <alignment horizontal="left" vertical="center" wrapText="1" indent="1"/>
    </xf>
    <xf numFmtId="0" fontId="5" fillId="0" borderId="18" xfId="0" applyNumberFormat="1" applyFont="1" applyBorder="1" applyAlignment="1">
      <alignment horizontal="left" vertical="center" indent="1"/>
    </xf>
    <xf numFmtId="0" fontId="0"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top" wrapText="1"/>
    </xf>
    <xf numFmtId="49" fontId="0" fillId="13" borderId="3" xfId="0" applyNumberFormat="1" applyFont="1" applyFill="1" applyBorder="1" applyAlignment="1">
      <alignment horizontal="left" vertical="top"/>
    </xf>
    <xf numFmtId="49" fontId="0" fillId="13" borderId="27" xfId="0" applyNumberFormat="1" applyFont="1" applyFill="1" applyBorder="1" applyAlignment="1">
      <alignment horizontal="left" vertical="top"/>
    </xf>
    <xf numFmtId="49" fontId="5" fillId="13" borderId="8" xfId="0" applyNumberFormat="1" applyFont="1" applyFill="1" applyBorder="1" applyAlignment="1">
      <alignment horizontal="center" vertical="center" wrapText="1"/>
    </xf>
    <xf numFmtId="49" fontId="5" fillId="13" borderId="27" xfId="0" applyNumberFormat="1" applyFont="1" applyFill="1" applyBorder="1" applyAlignment="1">
      <alignment horizontal="center" vertical="center" wrapText="1"/>
    </xf>
    <xf numFmtId="49" fontId="0" fillId="8" borderId="3" xfId="0" applyNumberFormat="1" applyFont="1" applyFill="1" applyBorder="1" applyAlignment="1">
      <alignment horizontal="left" vertical="center" wrapText="1"/>
    </xf>
    <xf numFmtId="0" fontId="0" fillId="8" borderId="3" xfId="0" applyNumberFormat="1" applyFont="1" applyFill="1" applyBorder="1" applyAlignment="1">
      <alignment horizontal="left" vertical="center" wrapText="1"/>
    </xf>
    <xf numFmtId="49" fontId="5" fillId="9" borderId="3" xfId="0" applyNumberFormat="1" applyFont="1" applyFill="1" applyBorder="1" applyAlignment="1" applyProtection="1">
      <alignment horizontal="left" vertical="center" wrapText="1"/>
      <protection locked="0"/>
    </xf>
    <xf numFmtId="49" fontId="0" fillId="9" borderId="3" xfId="0" applyNumberFormat="1" applyFont="1" applyFill="1" applyBorder="1" applyAlignment="1" applyProtection="1">
      <alignment horizontal="left" vertical="top"/>
      <protection locked="0"/>
    </xf>
    <xf numFmtId="0" fontId="0" fillId="0" borderId="3" xfId="0" applyNumberFormat="1" applyFont="1" applyBorder="1" applyAlignment="1">
      <alignment horizontal="center" vertical="center"/>
    </xf>
    <xf numFmtId="0" fontId="5" fillId="0" borderId="10" xfId="0" applyNumberFormat="1" applyFont="1" applyBorder="1" applyAlignment="1">
      <alignment horizontal="left" vertical="center" wrapText="1" indent="1"/>
    </xf>
    <xf numFmtId="0" fontId="5" fillId="0" borderId="8" xfId="0" applyNumberFormat="1" applyFont="1" applyBorder="1" applyAlignment="1">
      <alignment horizontal="center" vertical="center" wrapText="1"/>
    </xf>
    <xf numFmtId="0" fontId="5" fillId="0" borderId="28" xfId="0" applyNumberFormat="1" applyFont="1" applyBorder="1" applyAlignment="1">
      <alignment horizontal="center" vertical="center" wrapText="1"/>
    </xf>
    <xf numFmtId="0" fontId="5" fillId="0" borderId="11" xfId="0" applyNumberFormat="1" applyFont="1" applyBorder="1" applyAlignment="1">
      <alignment horizontal="center" vertical="center" wrapText="1"/>
    </xf>
    <xf numFmtId="0" fontId="5" fillId="0" borderId="13" xfId="0" applyNumberFormat="1" applyFont="1" applyBorder="1" applyAlignment="1">
      <alignment horizontal="center" vertical="center" wrapText="1"/>
    </xf>
    <xf numFmtId="0" fontId="5" fillId="0" borderId="15" xfId="0" applyNumberFormat="1" applyFont="1" applyBorder="1" applyAlignment="1">
      <alignment horizontal="center" vertical="center" wrapText="1"/>
    </xf>
    <xf numFmtId="0" fontId="5" fillId="0" borderId="27" xfId="0" applyNumberFormat="1" applyFont="1" applyBorder="1" applyAlignment="1">
      <alignment horizontal="center" vertical="center" wrapText="1"/>
    </xf>
    <xf numFmtId="0" fontId="5" fillId="0" borderId="21" xfId="0" applyNumberFormat="1" applyFont="1" applyBorder="1" applyAlignment="1">
      <alignment horizontal="center" vertical="center" wrapText="1"/>
    </xf>
    <xf numFmtId="0" fontId="5" fillId="0" borderId="20" xfId="0" applyNumberFormat="1" applyFont="1" applyBorder="1" applyAlignment="1">
      <alignment horizontal="center" vertical="center" wrapText="1"/>
    </xf>
    <xf numFmtId="49" fontId="5" fillId="0" borderId="3" xfId="0" applyNumberFormat="1" applyFont="1" applyBorder="1" applyAlignment="1">
      <alignment horizontal="center" vertical="center"/>
    </xf>
    <xf numFmtId="49" fontId="5" fillId="0" borderId="8" xfId="0" applyNumberFormat="1" applyFont="1" applyBorder="1" applyAlignment="1">
      <alignment horizontal="center" vertical="center"/>
    </xf>
    <xf numFmtId="0" fontId="5" fillId="0" borderId="3" xfId="0" applyNumberFormat="1" applyFont="1" applyBorder="1" applyAlignment="1">
      <alignment horizontal="left" vertical="center" wrapText="1"/>
    </xf>
    <xf numFmtId="0" fontId="5" fillId="0" borderId="8" xfId="0" applyNumberFormat="1" applyFont="1" applyBorder="1" applyAlignment="1">
      <alignment horizontal="left" vertical="center" wrapText="1"/>
    </xf>
    <xf numFmtId="0" fontId="5" fillId="0" borderId="28" xfId="0" applyNumberFormat="1" applyFont="1" applyBorder="1" applyAlignment="1">
      <alignment horizontal="left" vertical="center" wrapText="1"/>
    </xf>
    <xf numFmtId="0" fontId="5" fillId="0" borderId="10" xfId="0" applyNumberFormat="1" applyFont="1" applyBorder="1" applyAlignment="1">
      <alignment horizontal="center" vertical="center"/>
    </xf>
    <xf numFmtId="0" fontId="5" fillId="0" borderId="0" xfId="0" applyNumberFormat="1" applyFont="1" applyAlignment="1">
      <alignment horizontal="center" vertical="center"/>
    </xf>
    <xf numFmtId="0" fontId="21" fillId="0" borderId="18" xfId="0" applyNumberFormat="1" applyFont="1" applyBorder="1" applyAlignment="1">
      <alignment horizontal="left" vertical="center"/>
    </xf>
    <xf numFmtId="0" fontId="21" fillId="0" borderId="20" xfId="0" applyNumberFormat="1" applyFont="1" applyBorder="1" applyAlignment="1">
      <alignment horizontal="left" vertical="center"/>
    </xf>
    <xf numFmtId="0" fontId="21" fillId="0" borderId="0" xfId="0" applyNumberFormat="1" applyFont="1" applyAlignment="1">
      <alignment horizontal="left" vertical="center"/>
    </xf>
    <xf numFmtId="0" fontId="21" fillId="0" borderId="15" xfId="0" applyNumberFormat="1" applyFont="1" applyBorder="1" applyAlignment="1">
      <alignment horizontal="left" vertical="center"/>
    </xf>
    <xf numFmtId="0" fontId="5" fillId="0" borderId="5" xfId="0" applyNumberFormat="1" applyFont="1" applyBorder="1" applyAlignment="1">
      <alignment horizontal="left" vertical="center" wrapText="1"/>
    </xf>
    <xf numFmtId="0" fontId="5" fillId="0" borderId="18" xfId="0" applyNumberFormat="1" applyFont="1" applyBorder="1" applyAlignment="1">
      <alignment horizontal="left" vertical="center" wrapText="1" indent="1"/>
    </xf>
    <xf numFmtId="49" fontId="5" fillId="8" borderId="0" xfId="0" applyNumberFormat="1" applyFont="1" applyFill="1" applyAlignment="1">
      <alignment horizontal="center" vertical="center" wrapText="1"/>
    </xf>
    <xf numFmtId="0" fontId="26" fillId="0" borderId="0" xfId="0" applyNumberFormat="1" applyFont="1" applyAlignment="1">
      <alignment horizontal="right" vertical="top" wrapText="1"/>
    </xf>
    <xf numFmtId="49" fontId="0" fillId="8" borderId="3" xfId="0" applyNumberFormat="1" applyFont="1" applyFill="1" applyBorder="1" applyAlignment="1">
      <alignment horizontal="center" vertical="center" wrapText="1"/>
    </xf>
    <xf numFmtId="49" fontId="5" fillId="8" borderId="3" xfId="0" applyNumberFormat="1" applyFont="1" applyFill="1" applyBorder="1" applyAlignment="1">
      <alignment horizontal="center" vertical="center" wrapText="1"/>
    </xf>
    <xf numFmtId="0" fontId="26" fillId="0" borderId="0" xfId="0" applyNumberFormat="1" applyFont="1" applyAlignment="1">
      <alignment horizontal="left" vertical="top" wrapText="1" indent="1"/>
    </xf>
    <xf numFmtId="0" fontId="75" fillId="8" borderId="0" xfId="0" applyNumberFormat="1" applyFont="1" applyFill="1" applyAlignment="1">
      <alignment horizontal="left" vertical="center" wrapText="1"/>
    </xf>
    <xf numFmtId="0" fontId="0" fillId="8" borderId="3"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wrapText="1"/>
    </xf>
    <xf numFmtId="0" fontId="5" fillId="8" borderId="8" xfId="0" applyNumberFormat="1" applyFont="1" applyFill="1" applyBorder="1" applyAlignment="1">
      <alignment horizontal="left" vertical="top" wrapText="1"/>
    </xf>
    <xf numFmtId="0" fontId="5" fillId="8" borderId="27" xfId="0" applyNumberFormat="1" applyFont="1" applyFill="1" applyBorder="1" applyAlignment="1">
      <alignment horizontal="left" vertical="top" wrapText="1"/>
    </xf>
    <xf numFmtId="0" fontId="5" fillId="8" borderId="14" xfId="0" applyNumberFormat="1" applyFont="1" applyFill="1" applyBorder="1" applyAlignment="1">
      <alignment horizontal="left" vertical="top" wrapText="1"/>
    </xf>
    <xf numFmtId="0" fontId="5" fillId="8" borderId="15" xfId="0" applyNumberFormat="1" applyFont="1" applyFill="1" applyBorder="1" applyAlignment="1">
      <alignment horizontal="center" vertical="center" wrapText="1"/>
    </xf>
    <xf numFmtId="0" fontId="0" fillId="0" borderId="5" xfId="0" applyNumberFormat="1" applyFont="1" applyBorder="1" applyAlignment="1">
      <alignment horizontal="center" vertical="center" wrapText="1"/>
    </xf>
    <xf numFmtId="0" fontId="0" fillId="0" borderId="8" xfId="0" applyNumberFormat="1" applyFont="1" applyBorder="1" applyAlignment="1">
      <alignment horizontal="center" vertical="center" wrapText="1"/>
    </xf>
    <xf numFmtId="0" fontId="0" fillId="0" borderId="14" xfId="0" applyNumberFormat="1" applyFont="1" applyBorder="1" applyAlignment="1">
      <alignment horizontal="center" vertical="center" wrapText="1"/>
    </xf>
    <xf numFmtId="0" fontId="0" fillId="0" borderId="11" xfId="0" applyNumberFormat="1" applyFont="1" applyBorder="1" applyAlignment="1">
      <alignment horizontal="center" vertical="center" wrapText="1"/>
    </xf>
    <xf numFmtId="0" fontId="0" fillId="0" borderId="20" xfId="0" applyNumberFormat="1" applyFont="1" applyBorder="1" applyAlignment="1">
      <alignment horizontal="center" vertical="center" wrapText="1"/>
    </xf>
    <xf numFmtId="0" fontId="0" fillId="0" borderId="28" xfId="0" applyNumberFormat="1" applyFont="1" applyBorder="1" applyAlignment="1">
      <alignment horizontal="center" vertical="center" wrapText="1"/>
    </xf>
    <xf numFmtId="0" fontId="0" fillId="0" borderId="21" xfId="0" applyNumberFormat="1" applyFont="1" applyBorder="1" applyAlignment="1">
      <alignment horizontal="center" vertical="center" wrapText="1"/>
    </xf>
    <xf numFmtId="0" fontId="0" fillId="0" borderId="8" xfId="0" applyNumberFormat="1" applyFont="1" applyBorder="1" applyAlignment="1">
      <alignment horizontal="left" vertical="top" wrapText="1"/>
    </xf>
    <xf numFmtId="0" fontId="0" fillId="0" borderId="14" xfId="0" applyNumberFormat="1" applyFont="1" applyBorder="1" applyAlignment="1">
      <alignment horizontal="left" vertical="top" wrapText="1"/>
    </xf>
    <xf numFmtId="0" fontId="5" fillId="0" borderId="20" xfId="0" applyNumberFormat="1" applyFont="1" applyBorder="1" applyAlignment="1">
      <alignment horizontal="left" vertical="center" wrapText="1" indent="1"/>
    </xf>
    <xf numFmtId="0" fontId="5" fillId="0" borderId="14" xfId="0" applyNumberFormat="1" applyFont="1" applyBorder="1" applyAlignment="1">
      <alignment horizontal="left" vertical="center" wrapText="1" indent="1"/>
    </xf>
    <xf numFmtId="0" fontId="5" fillId="0" borderId="21" xfId="0" applyNumberFormat="1" applyFont="1" applyBorder="1" applyAlignment="1">
      <alignment horizontal="left" vertical="center" wrapText="1" indent="1"/>
    </xf>
    <xf numFmtId="0" fontId="28" fillId="0" borderId="0" xfId="0" applyNumberFormat="1" applyFont="1" applyAlignment="1">
      <alignment horizontal="center" vertical="center" wrapText="1"/>
    </xf>
    <xf numFmtId="0" fontId="0" fillId="0" borderId="6" xfId="0" applyNumberFormat="1" applyFont="1" applyBorder="1" applyAlignment="1">
      <alignment horizontal="center" vertical="center" wrapText="1"/>
    </xf>
    <xf numFmtId="0" fontId="0" fillId="0" borderId="4" xfId="0" applyNumberFormat="1" applyFont="1" applyBorder="1" applyAlignment="1">
      <alignment horizontal="center" vertical="center" wrapText="1"/>
    </xf>
    <xf numFmtId="0" fontId="5" fillId="0" borderId="10" xfId="0" applyNumberFormat="1" applyFont="1" applyBorder="1" applyAlignment="1">
      <alignment horizontal="left" vertical="top" wrapText="1" indent="1"/>
    </xf>
    <xf numFmtId="49" fontId="0" fillId="0" borderId="28" xfId="0" applyNumberFormat="1" applyFont="1" applyBorder="1" applyAlignment="1">
      <alignment horizontal="center" vertical="center" wrapText="1"/>
    </xf>
    <xf numFmtId="49" fontId="0" fillId="0" borderId="21" xfId="0" applyNumberFormat="1" applyFont="1" applyBorder="1" applyAlignment="1">
      <alignment horizontal="center" vertical="center" wrapText="1"/>
    </xf>
    <xf numFmtId="0" fontId="5" fillId="13" borderId="10" xfId="0" applyNumberFormat="1" applyFont="1" applyFill="1" applyBorder="1" applyAlignment="1">
      <alignment horizontal="left" vertical="center" wrapText="1"/>
    </xf>
    <xf numFmtId="0" fontId="5" fillId="13" borderId="18" xfId="0" applyNumberFormat="1" applyFont="1" applyFill="1" applyBorder="1" applyAlignment="1">
      <alignment horizontal="left" vertical="center" wrapText="1"/>
    </xf>
    <xf numFmtId="0" fontId="5" fillId="0" borderId="14" xfId="0" applyNumberFormat="1" applyFont="1" applyBorder="1" applyAlignment="1">
      <alignment horizontal="center" vertical="center" wrapText="1"/>
    </xf>
    <xf numFmtId="0" fontId="0" fillId="0" borderId="27" xfId="0" applyNumberFormat="1" applyFont="1" applyBorder="1" applyAlignment="1">
      <alignment horizontal="left" vertical="top" wrapText="1"/>
    </xf>
    <xf numFmtId="0" fontId="5" fillId="13" borderId="5" xfId="0" applyNumberFormat="1" applyFont="1" applyFill="1" applyBorder="1" applyAlignment="1">
      <alignment horizontal="left" vertical="center" wrapText="1"/>
    </xf>
    <xf numFmtId="0" fontId="5" fillId="13" borderId="6" xfId="0" applyNumberFormat="1" applyFont="1" applyFill="1" applyBorder="1" applyAlignment="1">
      <alignment horizontal="left" vertical="center" wrapText="1"/>
    </xf>
    <xf numFmtId="0" fontId="5" fillId="13" borderId="4" xfId="0" applyNumberFormat="1" applyFont="1" applyFill="1" applyBorder="1" applyAlignment="1">
      <alignment horizontal="left" vertical="center" wrapText="1"/>
    </xf>
    <xf numFmtId="0" fontId="0" fillId="8" borderId="3" xfId="0" applyNumberFormat="1" applyFont="1" applyFill="1" applyBorder="1" applyAlignment="1">
      <alignment horizontal="right" vertical="center" wrapText="1" indent="1"/>
    </xf>
    <xf numFmtId="168" fontId="5" fillId="7" borderId="3" xfId="0" applyNumberFormat="1" applyFont="1" applyFill="1" applyBorder="1" applyAlignment="1">
      <alignment horizontal="left" vertical="center" wrapText="1" indent="1"/>
    </xf>
    <xf numFmtId="0" fontId="5" fillId="7" borderId="3" xfId="0" applyNumberFormat="1" applyFont="1" applyFill="1" applyBorder="1" applyAlignment="1">
      <alignment horizontal="left" vertical="center" wrapText="1" indent="1"/>
    </xf>
    <xf numFmtId="0" fontId="5" fillId="7" borderId="5" xfId="0" applyNumberFormat="1" applyFont="1" applyFill="1" applyBorder="1" applyAlignment="1">
      <alignment horizontal="left" vertical="center" wrapText="1"/>
    </xf>
    <xf numFmtId="0" fontId="5" fillId="7" borderId="6" xfId="0" applyNumberFormat="1" applyFont="1" applyFill="1" applyBorder="1" applyAlignment="1">
      <alignment horizontal="left" vertical="center" wrapText="1"/>
    </xf>
    <xf numFmtId="0" fontId="5" fillId="7" borderId="4" xfId="0" applyNumberFormat="1" applyFont="1" applyFill="1" applyBorder="1" applyAlignment="1">
      <alignment horizontal="left" vertical="center" wrapText="1"/>
    </xf>
    <xf numFmtId="49" fontId="28" fillId="0" borderId="3" xfId="0" applyNumberFormat="1" applyFont="1" applyBorder="1" applyAlignment="1">
      <alignment horizontal="center" vertical="center" wrapText="1"/>
    </xf>
    <xf numFmtId="168" fontId="28" fillId="0" borderId="3" xfId="0" applyNumberFormat="1" applyFont="1" applyBorder="1" applyAlignment="1">
      <alignment horizontal="center" vertical="center" wrapText="1"/>
    </xf>
    <xf numFmtId="0" fontId="5" fillId="0" borderId="0" xfId="0" applyNumberFormat="1" applyFont="1" applyAlignment="1">
      <alignment horizontal="left" vertical="top" wrapText="1"/>
    </xf>
    <xf numFmtId="0" fontId="28" fillId="0" borderId="3" xfId="0" applyNumberFormat="1" applyFont="1" applyBorder="1" applyAlignment="1">
      <alignment horizontal="center" vertical="center"/>
    </xf>
    <xf numFmtId="0" fontId="28" fillId="0" borderId="5" xfId="0" applyNumberFormat="1" applyFont="1" applyBorder="1" applyAlignment="1">
      <alignment horizontal="center" vertical="center"/>
    </xf>
    <xf numFmtId="0" fontId="28" fillId="0" borderId="3" xfId="0" applyNumberFormat="1" applyFont="1" applyBorder="1" applyAlignment="1">
      <alignment horizontal="center" vertical="center" wrapText="1"/>
    </xf>
    <xf numFmtId="0" fontId="28" fillId="0" borderId="5" xfId="0" applyNumberFormat="1" applyFont="1" applyBorder="1" applyAlignment="1">
      <alignment horizontal="center" vertical="center" wrapText="1"/>
    </xf>
    <xf numFmtId="0" fontId="29" fillId="0" borderId="0" xfId="0" applyNumberFormat="1" applyFont="1" applyAlignment="1">
      <alignment horizontal="center" vertical="center" wrapText="1"/>
    </xf>
    <xf numFmtId="168" fontId="0" fillId="12" borderId="3" xfId="0" applyNumberFormat="1" applyFont="1" applyFill="1" applyBorder="1" applyAlignment="1" applyProtection="1">
      <alignment horizontal="center" vertical="center" wrapText="1"/>
      <protection locked="0"/>
    </xf>
    <xf numFmtId="49" fontId="0" fillId="12" borderId="3" xfId="0" applyNumberFormat="1" applyFont="1" applyFill="1" applyBorder="1" applyAlignment="1" applyProtection="1">
      <alignment horizontal="center" vertical="center" wrapText="1"/>
      <protection locked="0"/>
    </xf>
    <xf numFmtId="168" fontId="0" fillId="12" borderId="8" xfId="0" applyNumberFormat="1" applyFont="1" applyFill="1" applyBorder="1" applyAlignment="1" applyProtection="1">
      <alignment horizontal="center" vertical="center" wrapText="1"/>
      <protection locked="0"/>
    </xf>
    <xf numFmtId="49" fontId="0" fillId="12" borderId="14" xfId="0" applyNumberFormat="1" applyFont="1" applyFill="1" applyBorder="1" applyAlignment="1" applyProtection="1">
      <alignment horizontal="center" vertical="center" wrapText="1"/>
      <protection locked="0"/>
    </xf>
    <xf numFmtId="0" fontId="28" fillId="0" borderId="8" xfId="0" applyNumberFormat="1" applyFont="1" applyBorder="1" applyAlignment="1">
      <alignment horizontal="center" vertical="center" wrapText="1"/>
    </xf>
    <xf numFmtId="0" fontId="28" fillId="0" borderId="14" xfId="0" applyNumberFormat="1" applyFont="1" applyBorder="1" applyAlignment="1">
      <alignment horizontal="center" vertical="center" wrapText="1"/>
    </xf>
    <xf numFmtId="0" fontId="62" fillId="8" borderId="10" xfId="0" applyNumberFormat="1" applyFont="1" applyFill="1" applyBorder="1" applyAlignment="1">
      <alignment horizontal="center" vertical="center" wrapText="1"/>
    </xf>
    <xf numFmtId="0" fontId="18" fillId="0" borderId="18" xfId="0" applyNumberFormat="1" applyFont="1" applyBorder="1" applyAlignment="1">
      <alignment horizontal="center" vertical="center" wrapText="1"/>
    </xf>
    <xf numFmtId="0" fontId="5" fillId="8" borderId="3" xfId="0" applyNumberFormat="1" applyFont="1" applyFill="1" applyBorder="1" applyAlignment="1">
      <alignment horizontal="left" vertical="center" wrapText="1"/>
    </xf>
    <xf numFmtId="0" fontId="0" fillId="8" borderId="5" xfId="0" applyNumberFormat="1" applyFont="1" applyFill="1" applyBorder="1" applyAlignment="1">
      <alignment horizontal="center" vertical="center" wrapText="1"/>
    </xf>
    <xf numFmtId="0" fontId="0" fillId="8" borderId="6" xfId="0" applyNumberFormat="1" applyFont="1" applyFill="1" applyBorder="1" applyAlignment="1">
      <alignment horizontal="center" vertical="center" wrapText="1"/>
    </xf>
    <xf numFmtId="0" fontId="0" fillId="8" borderId="4" xfId="0" applyNumberFormat="1" applyFont="1" applyFill="1" applyBorder="1" applyAlignment="1">
      <alignment horizontal="center" vertical="center" wrapText="1"/>
    </xf>
    <xf numFmtId="0" fontId="5" fillId="8" borderId="8" xfId="0" applyNumberFormat="1" applyFont="1" applyFill="1" applyBorder="1" applyAlignment="1">
      <alignment horizontal="center" vertical="center" wrapText="1"/>
    </xf>
    <xf numFmtId="0" fontId="5" fillId="8" borderId="27" xfId="0" applyNumberFormat="1" applyFont="1" applyFill="1" applyBorder="1" applyAlignment="1">
      <alignment horizontal="center" vertical="center" wrapText="1"/>
    </xf>
    <xf numFmtId="0" fontId="5" fillId="8" borderId="14" xfId="0" applyNumberFormat="1" applyFont="1" applyFill="1" applyBorder="1" applyAlignment="1">
      <alignment horizontal="center" vertical="center" wrapText="1"/>
    </xf>
    <xf numFmtId="49" fontId="21" fillId="10" borderId="8" xfId="0" applyNumberFormat="1" applyFont="1" applyFill="1" applyBorder="1" applyAlignment="1">
      <alignment horizontal="center" vertical="center" textRotation="90" wrapText="1"/>
    </xf>
    <xf numFmtId="49" fontId="21" fillId="10" borderId="27" xfId="0" applyNumberFormat="1" applyFont="1" applyFill="1" applyBorder="1" applyAlignment="1">
      <alignment horizontal="center" vertical="center" textRotation="90" wrapText="1"/>
    </xf>
    <xf numFmtId="49" fontId="21" fillId="10" borderId="14" xfId="0" applyNumberFormat="1" applyFont="1" applyFill="1" applyBorder="1" applyAlignment="1">
      <alignment horizontal="center" vertical="center" textRotation="90" wrapText="1"/>
    </xf>
    <xf numFmtId="0" fontId="26" fillId="0" borderId="8" xfId="0" applyNumberFormat="1" applyFont="1" applyBorder="1" applyAlignment="1">
      <alignment horizontal="left" vertical="top" wrapText="1"/>
    </xf>
    <xf numFmtId="0" fontId="26" fillId="0" borderId="27" xfId="0" applyNumberFormat="1" applyFont="1" applyBorder="1" applyAlignment="1">
      <alignment horizontal="left" vertical="top" wrapText="1"/>
    </xf>
    <xf numFmtId="0" fontId="26" fillId="0" borderId="14" xfId="0" applyNumberFormat="1" applyFont="1" applyBorder="1" applyAlignment="1">
      <alignment horizontal="left" vertical="top" wrapText="1"/>
    </xf>
    <xf numFmtId="0" fontId="17" fillId="0" borderId="0" xfId="0" applyNumberFormat="1" applyFont="1" applyAlignment="1">
      <alignment horizontal="center" vertical="center" wrapText="1"/>
    </xf>
    <xf numFmtId="0" fontId="5" fillId="0" borderId="3" xfId="0" applyNumberFormat="1" applyFont="1" applyBorder="1" applyAlignment="1">
      <alignment horizontal="center" vertical="center"/>
    </xf>
    <xf numFmtId="0" fontId="5" fillId="0" borderId="5" xfId="0" applyNumberFormat="1" applyFont="1" applyBorder="1" applyAlignment="1">
      <alignment horizontal="center" vertical="center"/>
    </xf>
    <xf numFmtId="0" fontId="29" fillId="0" borderId="8" xfId="0" applyNumberFormat="1" applyFont="1" applyBorder="1" applyAlignment="1">
      <alignment horizontal="center" vertical="center" wrapText="1"/>
    </xf>
    <xf numFmtId="0" fontId="29" fillId="0" borderId="14" xfId="0" applyNumberFormat="1" applyFont="1" applyBorder="1" applyAlignment="1">
      <alignment horizontal="center" vertical="center" wrapText="1"/>
    </xf>
    <xf numFmtId="0" fontId="0" fillId="8" borderId="10" xfId="0" applyNumberFormat="1" applyFont="1" applyFill="1" applyBorder="1" applyAlignment="1">
      <alignment horizontal="center" vertical="center" wrapText="1"/>
    </xf>
    <xf numFmtId="0" fontId="29" fillId="0" borderId="5" xfId="0" applyNumberFormat="1" applyFont="1" applyBorder="1" applyAlignment="1">
      <alignment horizontal="left" vertical="center" wrapText="1"/>
    </xf>
    <xf numFmtId="0" fontId="29" fillId="0" borderId="6" xfId="0" applyNumberFormat="1" applyFont="1" applyBorder="1" applyAlignment="1">
      <alignment horizontal="left" vertical="center" wrapText="1"/>
    </xf>
    <xf numFmtId="0" fontId="29" fillId="0" borderId="4" xfId="0" applyNumberFormat="1" applyFont="1" applyBorder="1" applyAlignment="1">
      <alignment horizontal="left" vertical="center" wrapText="1"/>
    </xf>
    <xf numFmtId="0" fontId="5" fillId="13" borderId="3" xfId="0" applyNumberFormat="1" applyFont="1" applyFill="1" applyBorder="1" applyAlignment="1">
      <alignment horizontal="left" vertical="center" wrapText="1"/>
    </xf>
    <xf numFmtId="168" fontId="0" fillId="12" borderId="14" xfId="0" applyNumberFormat="1" applyFont="1" applyFill="1" applyBorder="1" applyAlignment="1" applyProtection="1">
      <alignment horizontal="center" vertical="center" wrapText="1"/>
      <protection locked="0"/>
    </xf>
    <xf numFmtId="0" fontId="5" fillId="7" borderId="28" xfId="0" applyNumberFormat="1" applyFont="1" applyFill="1" applyBorder="1" applyAlignment="1">
      <alignment horizontal="left" vertical="center" wrapText="1"/>
    </xf>
    <xf numFmtId="0" fontId="5" fillId="7" borderId="10" xfId="0" applyNumberFormat="1" applyFont="1" applyFill="1" applyBorder="1" applyAlignment="1">
      <alignment horizontal="left" vertical="center" wrapText="1"/>
    </xf>
    <xf numFmtId="0" fontId="5" fillId="7" borderId="11" xfId="0" applyNumberFormat="1" applyFont="1" applyFill="1" applyBorder="1" applyAlignment="1">
      <alignment horizontal="left" vertical="center" wrapText="1"/>
    </xf>
    <xf numFmtId="0" fontId="5" fillId="7" borderId="3" xfId="0" applyNumberFormat="1" applyFont="1" applyFill="1" applyBorder="1" applyAlignment="1">
      <alignment horizontal="left" vertical="center" wrapText="1"/>
    </xf>
    <xf numFmtId="0" fontId="29" fillId="0" borderId="3" xfId="0" applyNumberFormat="1" applyFont="1" applyBorder="1" applyAlignment="1">
      <alignment horizontal="left" vertical="center" wrapText="1"/>
    </xf>
    <xf numFmtId="0" fontId="0" fillId="0" borderId="27" xfId="0" applyNumberFormat="1" applyFont="1" applyBorder="1" applyAlignment="1">
      <alignment horizontal="center" vertical="center" wrapText="1"/>
    </xf>
    <xf numFmtId="0" fontId="5" fillId="0" borderId="10" xfId="0" applyNumberFormat="1" applyFont="1" applyBorder="1" applyAlignment="1">
      <alignment horizontal="center" vertical="center" wrapText="1"/>
    </xf>
    <xf numFmtId="0" fontId="5" fillId="0" borderId="18" xfId="0" applyNumberFormat="1" applyFont="1" applyBorder="1" applyAlignment="1">
      <alignment horizontal="center" vertical="center" wrapText="1"/>
    </xf>
    <xf numFmtId="0" fontId="5" fillId="13" borderId="11" xfId="0" applyNumberFormat="1" applyFont="1" applyFill="1" applyBorder="1" applyAlignment="1">
      <alignment horizontal="left" vertical="center" wrapText="1"/>
    </xf>
    <xf numFmtId="49" fontId="5" fillId="0" borderId="3" xfId="0" applyNumberFormat="1" applyFont="1" applyBorder="1" applyAlignment="1">
      <alignment horizontal="left" vertical="center" wrapText="1" indent="1"/>
    </xf>
    <xf numFmtId="0" fontId="0" fillId="8" borderId="28" xfId="0" applyNumberFormat="1" applyFont="1" applyFill="1" applyBorder="1" applyAlignment="1">
      <alignment horizontal="center" vertical="center" wrapText="1"/>
    </xf>
    <xf numFmtId="0" fontId="0" fillId="8" borderId="11" xfId="0" applyNumberFormat="1" applyFont="1" applyFill="1" applyBorder="1" applyAlignment="1">
      <alignment horizontal="center" vertical="center" wrapText="1"/>
    </xf>
    <xf numFmtId="0" fontId="0" fillId="8" borderId="13" xfId="0" applyNumberFormat="1" applyFont="1" applyFill="1" applyBorder="1" applyAlignment="1">
      <alignment horizontal="center" vertical="center" wrapText="1"/>
    </xf>
    <xf numFmtId="0" fontId="0" fillId="8" borderId="0" xfId="0" applyNumberFormat="1" applyFont="1" applyFill="1" applyAlignment="1">
      <alignment horizontal="center" vertical="center" wrapText="1"/>
    </xf>
    <xf numFmtId="0" fontId="0" fillId="8" borderId="21" xfId="0" applyNumberFormat="1" applyFont="1" applyFill="1" applyBorder="1" applyAlignment="1">
      <alignment horizontal="center" vertical="center" wrapText="1"/>
    </xf>
    <xf numFmtId="0" fontId="0" fillId="8" borderId="18" xfId="0" applyNumberFormat="1" applyFont="1" applyFill="1" applyBorder="1" applyAlignment="1">
      <alignment horizontal="center" vertical="center" wrapText="1"/>
    </xf>
    <xf numFmtId="0" fontId="0" fillId="8" borderId="20" xfId="0" applyNumberFormat="1" applyFont="1" applyFill="1" applyBorder="1" applyAlignment="1">
      <alignment horizontal="center" vertical="center" wrapText="1"/>
    </xf>
    <xf numFmtId="0" fontId="18" fillId="0" borderId="3" xfId="0" applyNumberFormat="1" applyFont="1" applyBorder="1" applyAlignment="1">
      <alignment horizontal="center" vertical="center" wrapText="1"/>
    </xf>
    <xf numFmtId="49" fontId="5" fillId="12" borderId="8" xfId="0" applyNumberFormat="1" applyFont="1" applyFill="1" applyBorder="1" applyAlignment="1" applyProtection="1">
      <alignment horizontal="left" vertical="center" wrapText="1" indent="6"/>
      <protection locked="0"/>
    </xf>
    <xf numFmtId="49" fontId="5" fillId="12" borderId="27" xfId="0" applyNumberFormat="1" applyFont="1" applyFill="1" applyBorder="1" applyAlignment="1" applyProtection="1">
      <alignment horizontal="left" vertical="center" wrapText="1" indent="6"/>
      <protection locked="0"/>
    </xf>
    <xf numFmtId="49" fontId="5" fillId="12" borderId="14" xfId="0" applyNumberFormat="1" applyFont="1" applyFill="1" applyBorder="1" applyAlignment="1" applyProtection="1">
      <alignment horizontal="left" vertical="center" wrapText="1" indent="6"/>
      <protection locked="0"/>
    </xf>
    <xf numFmtId="0" fontId="5" fillId="8" borderId="8" xfId="0" applyNumberFormat="1" applyFont="1" applyFill="1" applyBorder="1" applyAlignment="1">
      <alignment horizontal="left" vertical="center" wrapText="1"/>
    </xf>
    <xf numFmtId="0" fontId="5" fillId="8" borderId="27" xfId="0" applyNumberFormat="1" applyFont="1" applyFill="1" applyBorder="1" applyAlignment="1">
      <alignment horizontal="left" vertical="center" wrapText="1"/>
    </xf>
    <xf numFmtId="0" fontId="5" fillId="8" borderId="14" xfId="0" applyNumberFormat="1" applyFont="1" applyFill="1" applyBorder="1" applyAlignment="1">
      <alignment horizontal="left" vertical="center" wrapText="1"/>
    </xf>
    <xf numFmtId="0" fontId="29" fillId="0" borderId="15" xfId="0" applyNumberFormat="1" applyFont="1" applyBorder="1" applyAlignment="1">
      <alignment horizontal="center" vertical="top" wrapText="1"/>
    </xf>
    <xf numFmtId="0" fontId="0" fillId="8" borderId="15" xfId="0" applyNumberFormat="1" applyFont="1" applyFill="1" applyBorder="1" applyAlignment="1">
      <alignment horizontal="center" vertical="center" wrapText="1"/>
    </xf>
    <xf numFmtId="0" fontId="5" fillId="8" borderId="28" xfId="0" applyNumberFormat="1" applyFont="1" applyFill="1" applyBorder="1" applyAlignment="1">
      <alignment horizontal="center" vertical="center" wrapText="1"/>
    </xf>
    <xf numFmtId="0" fontId="5" fillId="8" borderId="13" xfId="0" applyNumberFormat="1" applyFont="1" applyFill="1" applyBorder="1" applyAlignment="1">
      <alignment horizontal="center" vertical="center" wrapText="1"/>
    </xf>
    <xf numFmtId="0" fontId="5" fillId="8" borderId="21" xfId="0" applyNumberFormat="1" applyFont="1" applyFill="1" applyBorder="1" applyAlignment="1">
      <alignment horizontal="center" vertical="center" wrapText="1"/>
    </xf>
    <xf numFmtId="0" fontId="5" fillId="12" borderId="3" xfId="0" applyNumberFormat="1" applyFont="1" applyFill="1" applyBorder="1" applyAlignment="1" applyProtection="1">
      <alignment horizontal="center" vertical="center" wrapText="1"/>
      <protection locked="0"/>
    </xf>
    <xf numFmtId="0" fontId="5" fillId="7" borderId="3" xfId="0" applyNumberFormat="1" applyFont="1" applyFill="1" applyBorder="1" applyAlignment="1">
      <alignment horizontal="center" vertical="center" wrapText="1"/>
    </xf>
    <xf numFmtId="49" fontId="5" fillId="13" borderId="3" xfId="0" applyNumberFormat="1" applyFont="1" applyFill="1" applyBorder="1" applyAlignment="1">
      <alignment horizontal="left" vertical="center" wrapText="1" indent="1"/>
    </xf>
    <xf numFmtId="0" fontId="5" fillId="9" borderId="5" xfId="0" applyNumberFormat="1" applyFont="1" applyFill="1" applyBorder="1" applyAlignment="1" applyProtection="1">
      <alignment horizontal="left" vertical="center" wrapText="1"/>
      <protection locked="0"/>
    </xf>
    <xf numFmtId="0" fontId="5" fillId="9" borderId="6" xfId="0" applyNumberFormat="1" applyFont="1" applyFill="1" applyBorder="1" applyAlignment="1" applyProtection="1">
      <alignment horizontal="left" vertical="center" wrapText="1"/>
      <protection locked="0"/>
    </xf>
    <xf numFmtId="0" fontId="5" fillId="9" borderId="4" xfId="0" applyNumberFormat="1" applyFont="1" applyFill="1" applyBorder="1" applyAlignment="1" applyProtection="1">
      <alignment horizontal="left" vertical="center" wrapText="1"/>
      <protection locked="0"/>
    </xf>
    <xf numFmtId="49" fontId="5" fillId="9" borderId="5" xfId="0" applyNumberFormat="1" applyFont="1" applyFill="1" applyBorder="1" applyAlignment="1" applyProtection="1">
      <alignment horizontal="left" vertical="center" wrapText="1"/>
      <protection locked="0"/>
    </xf>
    <xf numFmtId="49" fontId="5" fillId="9" borderId="6" xfId="0" applyNumberFormat="1" applyFont="1" applyFill="1" applyBorder="1" applyAlignment="1" applyProtection="1">
      <alignment horizontal="left" vertical="center" wrapText="1"/>
      <protection locked="0"/>
    </xf>
    <xf numFmtId="49" fontId="5" fillId="9" borderId="4" xfId="0" applyNumberFormat="1" applyFont="1" applyFill="1" applyBorder="1" applyAlignment="1" applyProtection="1">
      <alignment horizontal="left" vertical="center" wrapText="1"/>
      <protection locked="0"/>
    </xf>
    <xf numFmtId="0" fontId="26" fillId="0" borderId="3" xfId="0" applyNumberFormat="1" applyFont="1" applyBorder="1" applyAlignment="1">
      <alignment horizontal="left" vertical="top" wrapText="1"/>
    </xf>
    <xf numFmtId="0" fontId="5" fillId="12" borderId="4" xfId="0" applyNumberFormat="1" applyFont="1" applyFill="1" applyBorder="1" applyAlignment="1" applyProtection="1">
      <alignment horizontal="center" vertical="center" wrapText="1"/>
      <protection locked="0"/>
    </xf>
    <xf numFmtId="4" fontId="5" fillId="12" borderId="3" xfId="0" applyNumberFormat="1" applyFont="1" applyFill="1" applyBorder="1" applyAlignment="1" applyProtection="1">
      <alignment horizontal="left" vertical="center" wrapText="1" indent="1"/>
      <protection locked="0"/>
    </xf>
    <xf numFmtId="49" fontId="5" fillId="9" borderId="8" xfId="0" applyNumberFormat="1" applyFont="1" applyFill="1" applyBorder="1" applyAlignment="1" applyProtection="1">
      <alignment horizontal="left" vertical="center" wrapText="1" indent="6"/>
      <protection locked="0"/>
    </xf>
    <xf numFmtId="49" fontId="5" fillId="9" borderId="27" xfId="0" applyNumberFormat="1" applyFont="1" applyFill="1" applyBorder="1" applyAlignment="1" applyProtection="1">
      <alignment horizontal="left" vertical="center" wrapText="1" indent="6"/>
      <protection locked="0"/>
    </xf>
    <xf numFmtId="49" fontId="5" fillId="9" borderId="14" xfId="0" applyNumberFormat="1" applyFont="1" applyFill="1" applyBorder="1" applyAlignment="1" applyProtection="1">
      <alignment horizontal="left" vertical="center" wrapText="1" indent="6"/>
      <protection locked="0"/>
    </xf>
    <xf numFmtId="4" fontId="5" fillId="12" borderId="3" xfId="0" applyNumberFormat="1" applyFont="1" applyFill="1" applyBorder="1" applyAlignment="1" applyProtection="1">
      <alignment horizontal="center" vertical="center" wrapText="1"/>
      <protection locked="0"/>
    </xf>
    <xf numFmtId="49" fontId="5" fillId="13" borderId="11" xfId="0" applyNumberFormat="1" applyFont="1" applyFill="1" applyBorder="1" applyAlignment="1">
      <alignment horizontal="center" vertical="center" wrapText="1"/>
    </xf>
    <xf numFmtId="49" fontId="5" fillId="13" borderId="20" xfId="0" applyNumberFormat="1" applyFont="1" applyFill="1" applyBorder="1" applyAlignment="1">
      <alignment horizontal="center" vertical="center" wrapText="1"/>
    </xf>
    <xf numFmtId="0" fontId="29" fillId="0" borderId="10" xfId="0" applyNumberFormat="1" applyFont="1" applyBorder="1" applyAlignment="1">
      <alignment horizontal="left" vertical="center" wrapText="1"/>
    </xf>
    <xf numFmtId="49" fontId="5" fillId="8" borderId="3" xfId="11" applyNumberFormat="1" applyFont="1" applyFill="1" applyBorder="1" applyAlignment="1">
      <alignment horizontal="center" vertical="center" wrapText="1"/>
    </xf>
    <xf numFmtId="49" fontId="73" fillId="19" borderId="0" xfId="0" applyNumberFormat="1" applyFont="1" applyFill="1" applyAlignment="1">
      <alignment horizontal="center" vertical="center" textRotation="90" wrapText="1"/>
    </xf>
    <xf numFmtId="0" fontId="54" fillId="0" borderId="0" xfId="0" applyNumberFormat="1" applyFont="1" applyAlignment="1">
      <alignment horizontal="center" vertical="center" wrapText="1"/>
    </xf>
    <xf numFmtId="0" fontId="5" fillId="0" borderId="6" xfId="0" applyNumberFormat="1" applyFont="1" applyBorder="1" applyAlignment="1">
      <alignment horizontal="right" vertical="center" wrapText="1" indent="1"/>
    </xf>
    <xf numFmtId="0" fontId="5" fillId="0" borderId="4" xfId="0" applyNumberFormat="1" applyFont="1" applyBorder="1" applyAlignment="1">
      <alignment horizontal="right" vertical="center" wrapText="1" indent="1"/>
    </xf>
    <xf numFmtId="0" fontId="5" fillId="0" borderId="5" xfId="0" applyNumberFormat="1" applyFont="1" applyBorder="1" applyAlignment="1">
      <alignment horizontal="right" vertical="center" wrapText="1"/>
    </xf>
    <xf numFmtId="0" fontId="5" fillId="0" borderId="6" xfId="0" applyNumberFormat="1" applyFont="1" applyBorder="1" applyAlignment="1">
      <alignment horizontal="right" vertical="center" wrapText="1"/>
    </xf>
    <xf numFmtId="49" fontId="29" fillId="0" borderId="8" xfId="0" applyNumberFormat="1" applyFont="1" applyBorder="1" applyAlignment="1">
      <alignment horizontal="center" vertical="center" wrapText="1"/>
    </xf>
    <xf numFmtId="49" fontId="29" fillId="0" borderId="27" xfId="0" applyNumberFormat="1" applyFont="1" applyBorder="1" applyAlignment="1">
      <alignment horizontal="center" vertical="center" wrapText="1"/>
    </xf>
    <xf numFmtId="49" fontId="29" fillId="0" borderId="14" xfId="0" applyNumberFormat="1" applyFont="1" applyBorder="1" applyAlignment="1">
      <alignment horizontal="center" vertical="center" wrapText="1"/>
    </xf>
    <xf numFmtId="0" fontId="0" fillId="7" borderId="3" xfId="0" applyNumberFormat="1" applyFont="1" applyFill="1" applyBorder="1" applyAlignment="1">
      <alignment horizontal="left" vertical="center" wrapText="1" indent="1"/>
    </xf>
    <xf numFmtId="0" fontId="26" fillId="0" borderId="0" xfId="0" applyNumberFormat="1" applyFont="1" applyAlignment="1">
      <alignment horizontal="left" vertical="top" wrapText="1"/>
    </xf>
    <xf numFmtId="0" fontId="5" fillId="0" borderId="14" xfId="0" applyNumberFormat="1" applyFont="1" applyBorder="1" applyAlignment="1">
      <alignment horizontal="left" vertical="center" wrapText="1"/>
    </xf>
    <xf numFmtId="0" fontId="28" fillId="0" borderId="0" xfId="0" applyNumberFormat="1" applyFont="1" applyAlignment="1">
      <alignment horizontal="center" vertical="top"/>
    </xf>
    <xf numFmtId="0" fontId="0" fillId="0" borderId="5" xfId="0" applyNumberFormat="1" applyFont="1" applyBorder="1" applyAlignment="1">
      <alignment horizontal="right" vertical="center" wrapText="1" indent="1"/>
    </xf>
    <xf numFmtId="0" fontId="0" fillId="0" borderId="6" xfId="0" applyNumberFormat="1" applyFont="1" applyBorder="1" applyAlignment="1">
      <alignment horizontal="right" vertical="center" wrapText="1" indent="1"/>
    </xf>
    <xf numFmtId="0" fontId="0" fillId="0" borderId="4" xfId="0" applyNumberFormat="1" applyFont="1" applyBorder="1" applyAlignment="1">
      <alignment horizontal="right" vertical="center" wrapText="1" indent="1"/>
    </xf>
    <xf numFmtId="0" fontId="5" fillId="8" borderId="5" xfId="0" applyNumberFormat="1" applyFont="1" applyFill="1" applyBorder="1" applyAlignment="1">
      <alignment horizontal="center" vertical="center" wrapText="1"/>
    </xf>
    <xf numFmtId="0" fontId="5" fillId="8" borderId="6" xfId="0" applyNumberFormat="1" applyFont="1" applyFill="1" applyBorder="1" applyAlignment="1">
      <alignment horizontal="center" vertical="center" wrapText="1"/>
    </xf>
    <xf numFmtId="0" fontId="5" fillId="8" borderId="11" xfId="0" applyNumberFormat="1" applyFont="1" applyFill="1" applyBorder="1" applyAlignment="1">
      <alignment horizontal="center" vertical="center" wrapText="1"/>
    </xf>
    <xf numFmtId="0" fontId="5" fillId="8" borderId="3" xfId="0" applyNumberFormat="1" applyFont="1" applyFill="1" applyBorder="1" applyAlignment="1">
      <alignment horizontal="center" vertical="center"/>
    </xf>
    <xf numFmtId="0" fontId="29" fillId="0" borderId="6" xfId="0" applyNumberFormat="1" applyFont="1" applyBorder="1" applyAlignment="1">
      <alignment horizontal="right" vertical="center" wrapText="1" indent="1"/>
    </xf>
    <xf numFmtId="0" fontId="29" fillId="0" borderId="4" xfId="0" applyNumberFormat="1" applyFont="1" applyBorder="1" applyAlignment="1">
      <alignment horizontal="right" vertical="center" wrapText="1" indent="1"/>
    </xf>
    <xf numFmtId="0" fontId="5" fillId="7" borderId="5" xfId="0" applyNumberFormat="1" applyFont="1" applyFill="1" applyBorder="1" applyAlignment="1">
      <alignment horizontal="left" vertical="top" wrapText="1"/>
    </xf>
    <xf numFmtId="0" fontId="5" fillId="7" borderId="4" xfId="0" applyNumberFormat="1" applyFont="1" applyFill="1" applyBorder="1" applyAlignment="1">
      <alignment horizontal="left" vertical="top" wrapText="1"/>
    </xf>
    <xf numFmtId="49" fontId="5" fillId="30" borderId="0" xfId="0" applyNumberFormat="1" applyFont="1" applyFill="1" applyAlignment="1">
      <alignment horizontal="center" vertical="center" textRotation="90" wrapText="1"/>
    </xf>
    <xf numFmtId="49" fontId="5" fillId="0" borderId="0" xfId="0" applyNumberFormat="1" applyFont="1" applyAlignment="1">
      <alignment vertical="center" wrapText="1"/>
    </xf>
    <xf numFmtId="0" fontId="17" fillId="0" borderId="15" xfId="0" applyNumberFormat="1" applyFont="1" applyBorder="1" applyAlignment="1">
      <alignment horizontal="center" vertical="center" wrapText="1"/>
    </xf>
    <xf numFmtId="0" fontId="5" fillId="7" borderId="5" xfId="0" applyNumberFormat="1" applyFont="1" applyFill="1" applyBorder="1" applyAlignment="1">
      <alignment horizontal="left" vertical="top" wrapText="1" indent="1"/>
    </xf>
    <xf numFmtId="0" fontId="5" fillId="7" borderId="4" xfId="0" applyNumberFormat="1" applyFont="1" applyFill="1" applyBorder="1" applyAlignment="1">
      <alignment horizontal="left" vertical="top" wrapText="1" indent="1"/>
    </xf>
    <xf numFmtId="49" fontId="0" fillId="0" borderId="3" xfId="0" applyNumberFormat="1" applyFont="1" applyBorder="1" applyAlignment="1">
      <alignment horizontal="center" vertical="center" wrapText="1"/>
    </xf>
    <xf numFmtId="49" fontId="5" fillId="0" borderId="5" xfId="0" applyNumberFormat="1" applyFont="1" applyBorder="1" applyAlignment="1">
      <alignment horizontal="center" vertical="center" wrapText="1"/>
    </xf>
    <xf numFmtId="49" fontId="29" fillId="0" borderId="3" xfId="0" applyNumberFormat="1" applyFont="1" applyBorder="1" applyAlignment="1">
      <alignment horizontal="center" vertical="center" wrapText="1"/>
    </xf>
    <xf numFmtId="49" fontId="5" fillId="0" borderId="3" xfId="0" applyNumberFormat="1" applyFont="1" applyBorder="1" applyAlignment="1">
      <alignment horizontal="left" vertical="center" wrapText="1"/>
    </xf>
    <xf numFmtId="0" fontId="0" fillId="0" borderId="3" xfId="0" applyNumberFormat="1" applyFont="1" applyBorder="1" applyAlignment="1">
      <alignment horizontal="left" vertical="center" wrapText="1" indent="1"/>
    </xf>
    <xf numFmtId="0" fontId="5" fillId="0" borderId="0" xfId="0" applyNumberFormat="1" applyFont="1" applyAlignment="1">
      <alignment horizontal="left" vertical="center" wrapText="1"/>
    </xf>
    <xf numFmtId="0" fontId="5" fillId="8" borderId="20" xfId="0" applyNumberFormat="1" applyFont="1" applyFill="1" applyBorder="1" applyAlignment="1">
      <alignment horizontal="center" vertical="center" wrapText="1"/>
    </xf>
    <xf numFmtId="0" fontId="5" fillId="0" borderId="51" xfId="0" applyNumberFormat="1" applyFont="1" applyBorder="1" applyAlignment="1">
      <alignment horizontal="center" vertical="center"/>
    </xf>
    <xf numFmtId="0" fontId="5" fillId="0" borderId="52" xfId="0" applyNumberFormat="1" applyFont="1" applyBorder="1" applyAlignment="1">
      <alignment horizontal="center" vertical="center"/>
    </xf>
    <xf numFmtId="0" fontId="5" fillId="0" borderId="58" xfId="0" applyNumberFormat="1" applyFont="1" applyBorder="1" applyAlignment="1">
      <alignment horizontal="center" vertical="center"/>
    </xf>
    <xf numFmtId="0" fontId="5" fillId="0" borderId="64" xfId="0" applyNumberFormat="1" applyFont="1" applyBorder="1" applyAlignment="1">
      <alignment horizontal="center" vertical="center"/>
    </xf>
    <xf numFmtId="0" fontId="5" fillId="0" borderId="34" xfId="0" applyNumberFormat="1" applyFont="1" applyBorder="1" applyAlignment="1">
      <alignment horizontal="center" vertical="center"/>
    </xf>
    <xf numFmtId="49" fontId="0" fillId="0" borderId="3" xfId="0" applyNumberFormat="1" applyFont="1" applyBorder="1" applyAlignment="1">
      <alignment vertical="center" wrapText="1"/>
    </xf>
    <xf numFmtId="49" fontId="0" fillId="0" borderId="3" xfId="0" applyNumberFormat="1" applyFont="1" applyBorder="1" applyAlignment="1">
      <alignment horizontal="left" vertical="center" wrapText="1"/>
    </xf>
    <xf numFmtId="49" fontId="0" fillId="0" borderId="8" xfId="0" applyNumberFormat="1" applyFont="1" applyBorder="1" applyAlignment="1">
      <alignment horizontal="center" vertical="center" wrapText="1"/>
    </xf>
    <xf numFmtId="49" fontId="0" fillId="0" borderId="27" xfId="0" applyNumberFormat="1" applyFont="1" applyBorder="1" applyAlignment="1">
      <alignment horizontal="center" vertical="center" wrapText="1"/>
    </xf>
    <xf numFmtId="49" fontId="0" fillId="0" borderId="14" xfId="0" applyNumberFormat="1" applyFont="1" applyBorder="1" applyAlignment="1">
      <alignment horizontal="center" vertical="center" wrapText="1"/>
    </xf>
    <xf numFmtId="0" fontId="0" fillId="7" borderId="3" xfId="0" applyNumberFormat="1" applyFont="1" applyFill="1" applyBorder="1" applyAlignment="1">
      <alignment horizontal="center" vertical="center" wrapText="1"/>
    </xf>
    <xf numFmtId="49" fontId="0" fillId="0" borderId="3" xfId="0" applyNumberFormat="1" applyFont="1" applyBorder="1" applyAlignment="1">
      <alignment horizontal="center" vertical="center"/>
    </xf>
    <xf numFmtId="0" fontId="5" fillId="8" borderId="4" xfId="0" applyNumberFormat="1" applyFont="1" applyFill="1" applyBorder="1" applyAlignment="1">
      <alignment horizontal="center" vertical="center" wrapText="1"/>
    </xf>
    <xf numFmtId="0" fontId="5" fillId="14" borderId="3" xfId="0" applyNumberFormat="1" applyFont="1" applyFill="1" applyBorder="1" applyAlignment="1">
      <alignment horizontal="center" vertical="center" wrapText="1"/>
    </xf>
    <xf numFmtId="0" fontId="5" fillId="14" borderId="5" xfId="0" applyNumberFormat="1" applyFont="1" applyFill="1" applyBorder="1" applyAlignment="1">
      <alignment horizontal="center" vertical="center" wrapText="1"/>
    </xf>
    <xf numFmtId="49" fontId="5" fillId="24" borderId="5" xfId="0" applyNumberFormat="1" applyFont="1" applyFill="1" applyBorder="1" applyAlignment="1">
      <alignment horizontal="center" vertical="center" wrapText="1"/>
    </xf>
    <xf numFmtId="49" fontId="5" fillId="24" borderId="6" xfId="0" applyNumberFormat="1" applyFont="1" applyFill="1" applyBorder="1" applyAlignment="1">
      <alignment horizontal="center" vertical="center" wrapText="1"/>
    </xf>
    <xf numFmtId="49" fontId="5" fillId="14" borderId="10" xfId="0" applyNumberFormat="1" applyFont="1" applyFill="1" applyBorder="1" applyAlignment="1">
      <alignment horizontal="center" vertical="center" wrapText="1"/>
    </xf>
    <xf numFmtId="49" fontId="5" fillId="14" borderId="0" xfId="0" applyNumberFormat="1" applyFont="1" applyFill="1" applyAlignment="1">
      <alignment horizontal="center" vertical="center" wrapText="1"/>
    </xf>
    <xf numFmtId="49" fontId="5" fillId="14" borderId="18" xfId="0" applyNumberFormat="1" applyFont="1" applyFill="1" applyBorder="1" applyAlignment="1">
      <alignment horizontal="center" vertical="center" wrapText="1"/>
    </xf>
    <xf numFmtId="0" fontId="5" fillId="14" borderId="4" xfId="0" applyNumberFormat="1" applyFont="1" applyFill="1" applyBorder="1" applyAlignment="1">
      <alignment horizontal="center" vertical="center" wrapText="1"/>
    </xf>
    <xf numFmtId="0" fontId="5" fillId="22" borderId="5" xfId="0" applyNumberFormat="1" applyFont="1" applyFill="1" applyBorder="1" applyAlignment="1">
      <alignment horizontal="center" vertical="center" wrapText="1"/>
    </xf>
    <xf numFmtId="0" fontId="5" fillId="22" borderId="6" xfId="0" applyNumberFormat="1" applyFont="1" applyFill="1" applyBorder="1" applyAlignment="1">
      <alignment horizontal="center" vertical="center" wrapText="1"/>
    </xf>
    <xf numFmtId="0" fontId="5" fillId="22" borderId="4" xfId="0" applyNumberFormat="1" applyFont="1" applyFill="1" applyBorder="1" applyAlignment="1">
      <alignment horizontal="center" vertical="center" wrapText="1"/>
    </xf>
    <xf numFmtId="49" fontId="28" fillId="20" borderId="5" xfId="0" applyNumberFormat="1" applyFont="1" applyFill="1" applyBorder="1" applyAlignment="1">
      <alignment horizontal="center" vertical="center" wrapText="1"/>
    </xf>
    <xf numFmtId="49" fontId="28" fillId="20" borderId="6" xfId="0" applyNumberFormat="1" applyFont="1" applyFill="1" applyBorder="1" applyAlignment="1">
      <alignment horizontal="center" vertical="center" wrapText="1"/>
    </xf>
    <xf numFmtId="49" fontId="28" fillId="20" borderId="4" xfId="0" applyNumberFormat="1" applyFont="1" applyFill="1" applyBorder="1" applyAlignment="1">
      <alignment horizontal="center" vertical="center" wrapText="1"/>
    </xf>
    <xf numFmtId="49" fontId="28" fillId="23" borderId="5" xfId="0" applyNumberFormat="1" applyFont="1" applyFill="1" applyBorder="1" applyAlignment="1">
      <alignment horizontal="center" vertical="center" wrapText="1"/>
    </xf>
    <xf numFmtId="49" fontId="28" fillId="23" borderId="6" xfId="0" applyNumberFormat="1" applyFont="1" applyFill="1" applyBorder="1" applyAlignment="1">
      <alignment horizontal="center" vertical="center" wrapText="1"/>
    </xf>
    <xf numFmtId="49" fontId="28" fillId="23" borderId="4" xfId="0" applyNumberFormat="1" applyFont="1" applyFill="1" applyBorder="1" applyAlignment="1">
      <alignment horizontal="center" vertical="center" wrapText="1"/>
    </xf>
    <xf numFmtId="49" fontId="5" fillId="14" borderId="3" xfId="0" applyNumberFormat="1" applyFont="1" applyFill="1" applyBorder="1" applyAlignment="1">
      <alignment horizontal="center" vertical="center" wrapText="1"/>
    </xf>
    <xf numFmtId="49" fontId="5" fillId="0" borderId="6" xfId="0" applyNumberFormat="1" applyFont="1" applyBorder="1" applyAlignment="1">
      <alignment horizontal="center" vertical="center" wrapText="1"/>
    </xf>
    <xf numFmtId="49" fontId="5" fillId="0" borderId="4" xfId="0" applyNumberFormat="1" applyFont="1" applyBorder="1" applyAlignment="1">
      <alignment horizontal="center" vertical="center" wrapText="1"/>
    </xf>
    <xf numFmtId="0" fontId="5" fillId="0" borderId="11" xfId="0" applyNumberFormat="1" applyFont="1" applyBorder="1" applyAlignment="1">
      <alignment horizontal="left" vertical="top" wrapText="1"/>
    </xf>
    <xf numFmtId="0" fontId="0" fillId="0" borderId="3" xfId="0" applyNumberFormat="1" applyFont="1" applyBorder="1" applyAlignment="1">
      <alignment horizontal="left" vertical="center" wrapText="1"/>
    </xf>
    <xf numFmtId="0" fontId="20" fillId="8" borderId="15" xfId="0" applyNumberFormat="1" applyFont="1" applyFill="1" applyBorder="1" applyAlignment="1">
      <alignment horizontal="center" vertical="top" wrapText="1"/>
    </xf>
    <xf numFmtId="0" fontId="20" fillId="0" borderId="0" xfId="0" applyNumberFormat="1" applyFont="1" applyAlignment="1">
      <alignment vertical="center" wrapText="1"/>
    </xf>
    <xf numFmtId="0" fontId="5" fillId="0" borderId="27" xfId="0" applyNumberFormat="1" applyFont="1" applyBorder="1" applyAlignment="1">
      <alignment vertical="center" wrapText="1"/>
    </xf>
    <xf numFmtId="0" fontId="5" fillId="0" borderId="6" xfId="0" applyNumberFormat="1" applyFont="1" applyBorder="1" applyAlignment="1">
      <alignment horizontal="left" vertical="top" wrapText="1" indent="1"/>
    </xf>
    <xf numFmtId="0" fontId="20" fillId="8" borderId="0" xfId="0" applyNumberFormat="1" applyFont="1" applyFill="1" applyAlignment="1">
      <alignment horizontal="center" vertical="top" wrapText="1"/>
    </xf>
    <xf numFmtId="49" fontId="17" fillId="8" borderId="10" xfId="0" applyNumberFormat="1" applyFont="1" applyFill="1" applyBorder="1" applyAlignment="1">
      <alignment horizontal="center" vertical="center" wrapText="1"/>
    </xf>
    <xf numFmtId="0" fontId="0" fillId="0" borderId="8" xfId="0" applyNumberFormat="1" applyFont="1" applyBorder="1" applyAlignment="1">
      <alignment horizontal="left" vertical="center" wrapText="1"/>
    </xf>
    <xf numFmtId="0" fontId="0" fillId="7" borderId="5" xfId="0" applyNumberFormat="1" applyFont="1" applyFill="1" applyBorder="1" applyAlignment="1">
      <alignment horizontal="left" vertical="center" wrapText="1" indent="1"/>
    </xf>
    <xf numFmtId="49" fontId="0" fillId="8" borderId="14" xfId="0" applyNumberFormat="1" applyFont="1" applyFill="1" applyBorder="1" applyAlignment="1">
      <alignment horizontal="center" vertical="center" wrapText="1"/>
    </xf>
    <xf numFmtId="0" fontId="0" fillId="7" borderId="14" xfId="0" applyNumberFormat="1" applyFont="1" applyFill="1" applyBorder="1" applyAlignment="1">
      <alignment horizontal="left" vertical="center" wrapText="1" indent="1"/>
    </xf>
    <xf numFmtId="0" fontId="0" fillId="8" borderId="8" xfId="0" applyNumberFormat="1" applyFont="1" applyFill="1" applyBorder="1" applyAlignment="1">
      <alignment horizontal="left" vertical="top" wrapText="1"/>
    </xf>
    <xf numFmtId="0" fontId="0" fillId="8" borderId="27" xfId="0" applyNumberFormat="1" applyFont="1" applyFill="1" applyBorder="1" applyAlignment="1">
      <alignment horizontal="left" vertical="top" wrapText="1"/>
    </xf>
    <xf numFmtId="0" fontId="0" fillId="8" borderId="14" xfId="0" applyNumberFormat="1" applyFont="1" applyFill="1" applyBorder="1" applyAlignment="1">
      <alignment horizontal="left" vertical="top" wrapText="1"/>
    </xf>
    <xf numFmtId="4" fontId="5" fillId="0" borderId="8" xfId="0" applyNumberFormat="1" applyFont="1" applyBorder="1" applyAlignment="1">
      <alignment horizontal="center" vertical="center" wrapText="1"/>
    </xf>
    <xf numFmtId="4" fontId="5" fillId="0" borderId="14" xfId="0" applyNumberFormat="1" applyFont="1" applyBorder="1" applyAlignment="1">
      <alignment horizontal="center" vertical="center" wrapText="1"/>
    </xf>
    <xf numFmtId="4" fontId="5" fillId="0" borderId="27" xfId="0" applyNumberFormat="1" applyFont="1" applyBorder="1" applyAlignment="1">
      <alignment horizontal="center" vertical="center" wrapText="1"/>
    </xf>
    <xf numFmtId="0" fontId="5" fillId="0" borderId="20" xfId="0" applyNumberFormat="1" applyFont="1" applyBorder="1" applyAlignment="1">
      <alignment horizontal="left" vertical="top" wrapText="1"/>
    </xf>
    <xf numFmtId="169" fontId="5" fillId="0" borderId="8" xfId="0" applyNumberFormat="1" applyFont="1" applyBorder="1" applyAlignment="1">
      <alignment horizontal="center" vertical="center" wrapText="1"/>
    </xf>
    <xf numFmtId="169" fontId="5" fillId="0" borderId="14" xfId="0" applyNumberFormat="1" applyFont="1" applyBorder="1" applyAlignment="1">
      <alignment horizontal="center" vertical="center" wrapText="1"/>
    </xf>
    <xf numFmtId="169" fontId="5" fillId="0" borderId="5" xfId="0" applyNumberFormat="1" applyFont="1" applyBorder="1" applyAlignment="1">
      <alignment horizontal="center" vertical="center" wrapText="1"/>
    </xf>
    <xf numFmtId="169" fontId="5" fillId="0" borderId="6" xfId="0" applyNumberFormat="1" applyFont="1" applyBorder="1" applyAlignment="1">
      <alignment horizontal="center" vertical="center" wrapText="1"/>
    </xf>
    <xf numFmtId="169" fontId="5" fillId="0" borderId="4" xfId="0" applyNumberFormat="1" applyFont="1" applyBorder="1" applyAlignment="1">
      <alignment horizontal="center" vertical="center" wrapText="1"/>
    </xf>
    <xf numFmtId="49" fontId="5" fillId="0" borderId="3" xfId="0" applyNumberFormat="1" applyFont="1" applyBorder="1" applyAlignment="1">
      <alignment horizontal="left" vertical="top" wrapText="1"/>
    </xf>
    <xf numFmtId="49" fontId="109" fillId="0" borderId="3" xfId="0" applyNumberFormat="1" applyFont="1" applyBorder="1" applyAlignment="1">
      <alignment horizontal="left" vertical="top" wrapText="1"/>
    </xf>
    <xf numFmtId="0" fontId="5" fillId="0" borderId="6" xfId="0" applyNumberFormat="1" applyFont="1" applyBorder="1" applyAlignment="1">
      <alignment horizontal="left" vertical="center" wrapText="1"/>
    </xf>
    <xf numFmtId="169" fontId="5" fillId="0" borderId="27" xfId="0" applyNumberFormat="1" applyFont="1" applyBorder="1" applyAlignment="1">
      <alignment horizontal="center" vertical="center" wrapText="1"/>
    </xf>
    <xf numFmtId="169" fontId="5" fillId="0" borderId="3" xfId="0" applyNumberFormat="1" applyFont="1" applyBorder="1" applyAlignment="1">
      <alignment horizontal="center" vertical="center" wrapText="1"/>
    </xf>
    <xf numFmtId="169" fontId="26" fillId="0" borderId="10" xfId="0" applyNumberFormat="1" applyFont="1" applyBorder="1" applyAlignment="1">
      <alignment horizontal="center" vertical="center" wrapText="1"/>
    </xf>
    <xf numFmtId="49" fontId="5" fillId="13" borderId="21" xfId="0" applyNumberFormat="1" applyFont="1" applyFill="1" applyBorder="1" applyAlignment="1">
      <alignment horizontal="left" vertical="center" wrapText="1"/>
    </xf>
    <xf numFmtId="49" fontId="5" fillId="13" borderId="14" xfId="0" applyNumberFormat="1" applyFont="1" applyFill="1" applyBorder="1" applyAlignment="1">
      <alignment horizontal="left" vertical="center" wrapText="1"/>
    </xf>
    <xf numFmtId="14" fontId="5" fillId="13" borderId="3" xfId="0" applyNumberFormat="1" applyFont="1" applyFill="1" applyBorder="1" applyAlignment="1">
      <alignment horizontal="left" vertical="center" wrapText="1"/>
    </xf>
    <xf numFmtId="49" fontId="5" fillId="13" borderId="5" xfId="0" applyNumberFormat="1" applyFont="1" applyFill="1" applyBorder="1" applyAlignment="1">
      <alignment horizontal="left" vertical="center" wrapText="1"/>
    </xf>
    <xf numFmtId="49" fontId="5" fillId="13" borderId="3" xfId="0" applyNumberFormat="1" applyFont="1" applyFill="1" applyBorder="1" applyAlignment="1">
      <alignment horizontal="left" vertical="center" wrapText="1"/>
    </xf>
    <xf numFmtId="0" fontId="5" fillId="7" borderId="20" xfId="0" applyNumberFormat="1" applyFont="1" applyFill="1" applyBorder="1" applyAlignment="1">
      <alignment horizontal="left" vertical="center" wrapText="1"/>
    </xf>
    <xf numFmtId="14" fontId="5" fillId="13" borderId="14" xfId="0" applyNumberFormat="1" applyFont="1" applyFill="1" applyBorder="1" applyAlignment="1">
      <alignment horizontal="left" vertical="center" wrapText="1"/>
    </xf>
    <xf numFmtId="49" fontId="5" fillId="0" borderId="0" xfId="0" applyNumberFormat="1" applyFont="1" applyAlignment="1">
      <alignment horizontal="left" vertical="top" wrapText="1"/>
    </xf>
    <xf numFmtId="0" fontId="5" fillId="0" borderId="4" xfId="0" applyNumberFormat="1" applyFont="1" applyBorder="1" applyAlignment="1">
      <alignment horizontal="left" vertical="center" wrapText="1" indent="1"/>
    </xf>
    <xf numFmtId="0" fontId="5" fillId="0" borderId="5" xfId="0" applyNumberFormat="1" applyFont="1" applyBorder="1" applyAlignment="1">
      <alignment horizontal="left" vertical="center" wrapText="1" indent="1"/>
    </xf>
    <xf numFmtId="49" fontId="0" fillId="0" borderId="6" xfId="0" applyNumberFormat="1" applyFont="1" applyBorder="1" applyAlignment="1">
      <alignment horizontal="left" vertical="center" indent="1"/>
    </xf>
    <xf numFmtId="49" fontId="5" fillId="0" borderId="3" xfId="0" applyNumberFormat="1" applyFont="1" applyBorder="1" applyAlignment="1">
      <alignment horizontal="center" vertical="top" wrapText="1"/>
    </xf>
    <xf numFmtId="0" fontId="0" fillId="7" borderId="3" xfId="0" applyNumberFormat="1" applyFont="1" applyFill="1" applyBorder="1" applyAlignment="1">
      <alignment horizontal="left" vertical="top" wrapText="1" indent="1"/>
    </xf>
    <xf numFmtId="49" fontId="5" fillId="13" borderId="8" xfId="0" applyNumberFormat="1" applyFont="1" applyFill="1" applyBorder="1" applyAlignment="1">
      <alignment horizontal="center" vertical="top" wrapText="1"/>
    </xf>
    <xf numFmtId="49" fontId="5" fillId="13" borderId="14" xfId="0" applyNumberFormat="1" applyFont="1" applyFill="1" applyBorder="1" applyAlignment="1">
      <alignment horizontal="center" vertical="top" wrapText="1"/>
    </xf>
    <xf numFmtId="168" fontId="0" fillId="12" borderId="3" xfId="0" applyNumberFormat="1" applyFont="1" applyFill="1" applyBorder="1" applyAlignment="1" applyProtection="1">
      <alignment horizontal="center" vertical="top" wrapText="1"/>
      <protection locked="0"/>
    </xf>
    <xf numFmtId="49" fontId="0" fillId="12" borderId="3" xfId="0" applyNumberFormat="1" applyFont="1" applyFill="1" applyBorder="1" applyAlignment="1" applyProtection="1">
      <alignment horizontal="center" vertical="top" wrapText="1"/>
      <protection locked="0"/>
    </xf>
    <xf numFmtId="168" fontId="0" fillId="9" borderId="3" xfId="0" applyNumberFormat="1" applyFont="1" applyFill="1" applyBorder="1" applyAlignment="1" applyProtection="1">
      <alignment horizontal="center" vertical="top" wrapText="1"/>
      <protection locked="0"/>
    </xf>
    <xf numFmtId="49" fontId="0" fillId="9" borderId="3" xfId="0" applyNumberFormat="1" applyFont="1" applyFill="1" applyBorder="1" applyAlignment="1" applyProtection="1">
      <alignment horizontal="center" vertical="top" wrapText="1"/>
      <protection locked="0"/>
    </xf>
    <xf numFmtId="49" fontId="5" fillId="13" borderId="3" xfId="0" applyNumberFormat="1" applyFont="1" applyFill="1" applyBorder="1" applyAlignment="1">
      <alignment horizontal="left" vertical="top" wrapText="1"/>
    </xf>
    <xf numFmtId="49" fontId="28" fillId="0" borderId="8" xfId="0" applyNumberFormat="1" applyFont="1" applyBorder="1" applyAlignment="1">
      <alignment horizontal="left" vertical="center" wrapText="1" indent="1"/>
    </xf>
    <xf numFmtId="49" fontId="28" fillId="0" borderId="27" xfId="0" applyNumberFormat="1" applyFont="1" applyBorder="1" applyAlignment="1">
      <alignment horizontal="left" vertical="center" wrapText="1" indent="1"/>
    </xf>
    <xf numFmtId="49" fontId="28" fillId="0" borderId="14" xfId="0" applyNumberFormat="1" applyFont="1" applyBorder="1" applyAlignment="1">
      <alignment horizontal="left" vertical="center" wrapText="1" indent="1"/>
    </xf>
    <xf numFmtId="49" fontId="28" fillId="0" borderId="3" xfId="0" applyNumberFormat="1" applyFont="1" applyBorder="1" applyAlignment="1">
      <alignment horizontal="left" vertical="center" wrapText="1"/>
    </xf>
    <xf numFmtId="49" fontId="105" fillId="0" borderId="3" xfId="0" applyNumberFormat="1" applyFont="1" applyBorder="1" applyAlignment="1">
      <alignment horizontal="center" vertical="center" wrapText="1"/>
    </xf>
    <xf numFmtId="0" fontId="26" fillId="0" borderId="3" xfId="0" applyNumberFormat="1" applyFont="1" applyBorder="1" applyAlignment="1">
      <alignment horizontal="center" vertical="center"/>
    </xf>
    <xf numFmtId="49" fontId="5" fillId="13" borderId="8" xfId="0" applyNumberFormat="1" applyFont="1" applyFill="1" applyBorder="1" applyAlignment="1">
      <alignment horizontal="left" vertical="center" wrapText="1" indent="1"/>
    </xf>
    <xf numFmtId="49" fontId="5" fillId="13" borderId="27" xfId="0" applyNumberFormat="1" applyFont="1" applyFill="1" applyBorder="1" applyAlignment="1">
      <alignment horizontal="left" vertical="center" wrapText="1" indent="1"/>
    </xf>
    <xf numFmtId="49" fontId="5" fillId="13" borderId="14" xfId="0" applyNumberFormat="1" applyFont="1" applyFill="1" applyBorder="1" applyAlignment="1">
      <alignment horizontal="left" vertical="center" wrapText="1" indent="1"/>
    </xf>
    <xf numFmtId="49" fontId="5" fillId="7" borderId="3" xfId="0" applyNumberFormat="1" applyFont="1" applyFill="1" applyBorder="1" applyAlignment="1">
      <alignment horizontal="left" vertical="center" wrapText="1"/>
    </xf>
    <xf numFmtId="49" fontId="5" fillId="12" borderId="3" xfId="0" applyNumberFormat="1" applyFont="1" applyFill="1" applyBorder="1" applyAlignment="1" applyProtection="1">
      <alignment horizontal="left" vertical="top" wrapText="1"/>
      <protection locked="0"/>
    </xf>
    <xf numFmtId="0" fontId="5" fillId="9" borderId="3" xfId="0" applyNumberFormat="1" applyFont="1" applyFill="1" applyBorder="1" applyAlignment="1" applyProtection="1">
      <alignment horizontal="left" vertical="top" wrapText="1"/>
      <protection locked="0"/>
    </xf>
    <xf numFmtId="49" fontId="0" fillId="12" borderId="3" xfId="0" applyNumberFormat="1" applyFont="1" applyFill="1" applyBorder="1" applyAlignment="1" applyProtection="1">
      <alignment horizontal="left" vertical="center" wrapText="1"/>
      <protection locked="0"/>
    </xf>
    <xf numFmtId="49" fontId="5" fillId="0" borderId="8" xfId="0" applyNumberFormat="1" applyFont="1" applyBorder="1" applyAlignment="1">
      <alignment horizontal="center" vertical="center" wrapText="1"/>
    </xf>
    <xf numFmtId="49" fontId="5" fillId="0" borderId="27" xfId="0" applyNumberFormat="1" applyFont="1" applyBorder="1" applyAlignment="1">
      <alignment horizontal="center" vertical="center" wrapText="1"/>
    </xf>
    <xf numFmtId="49" fontId="5" fillId="0" borderId="14" xfId="0" applyNumberFormat="1" applyFont="1" applyBorder="1" applyAlignment="1">
      <alignment horizontal="center" vertical="center" wrapText="1"/>
    </xf>
    <xf numFmtId="0" fontId="0" fillId="12" borderId="3" xfId="0" applyNumberFormat="1" applyFont="1" applyFill="1" applyBorder="1" applyAlignment="1" applyProtection="1">
      <alignment horizontal="left" vertical="center" wrapText="1"/>
      <protection locked="0"/>
    </xf>
    <xf numFmtId="49" fontId="0" fillId="12" borderId="5" xfId="0" applyNumberFormat="1" applyFont="1" applyFill="1" applyBorder="1" applyAlignment="1" applyProtection="1">
      <alignment horizontal="left" vertical="center" wrapText="1"/>
      <protection locked="0"/>
    </xf>
    <xf numFmtId="49" fontId="18" fillId="0" borderId="8" xfId="0" applyNumberFormat="1" applyFont="1" applyBorder="1" applyAlignment="1">
      <alignment horizontal="center" vertical="top" wrapText="1"/>
    </xf>
    <xf numFmtId="49" fontId="5" fillId="0" borderId="27" xfId="0" applyNumberFormat="1" applyFont="1" applyBorder="1" applyAlignment="1">
      <alignment horizontal="center" vertical="top" wrapText="1"/>
    </xf>
    <xf numFmtId="49" fontId="5" fillId="0" borderId="14" xfId="0" applyNumberFormat="1" applyFont="1" applyBorder="1" applyAlignment="1">
      <alignment horizontal="center" vertical="top" wrapText="1"/>
    </xf>
    <xf numFmtId="49" fontId="5" fillId="12" borderId="5" xfId="0" applyNumberFormat="1" applyFont="1" applyFill="1" applyBorder="1" applyAlignment="1" applyProtection="1">
      <alignment horizontal="left" vertical="center" wrapText="1" indent="1"/>
      <protection locked="0"/>
    </xf>
    <xf numFmtId="49" fontId="5" fillId="12" borderId="3" xfId="0" applyNumberFormat="1" applyFont="1" applyFill="1" applyBorder="1" applyAlignment="1" applyProtection="1">
      <alignment horizontal="left" vertical="center" wrapText="1" indent="1"/>
      <protection locked="0"/>
    </xf>
    <xf numFmtId="0" fontId="0" fillId="13" borderId="3" xfId="0" applyNumberFormat="1" applyFont="1" applyFill="1" applyBorder="1" applyAlignment="1">
      <alignment horizontal="left" vertical="center" wrapText="1"/>
    </xf>
    <xf numFmtId="49" fontId="0" fillId="13" borderId="3" xfId="0" applyNumberFormat="1" applyFont="1" applyFill="1" applyBorder="1" applyAlignment="1">
      <alignment horizontal="left" vertical="center" wrapText="1"/>
    </xf>
    <xf numFmtId="14" fontId="63" fillId="0" borderId="8" xfId="0" applyNumberFormat="1" applyFont="1" applyBorder="1" applyAlignment="1">
      <alignment horizontal="center" vertical="center" wrapText="1"/>
    </xf>
    <xf numFmtId="14" fontId="63" fillId="0" borderId="27" xfId="0" applyNumberFormat="1" applyFont="1" applyBorder="1" applyAlignment="1">
      <alignment horizontal="center" vertical="center" wrapText="1"/>
    </xf>
    <xf numFmtId="0" fontId="57" fillId="0" borderId="3" xfId="0" applyNumberFormat="1" applyFont="1" applyBorder="1" applyAlignment="1">
      <alignment horizontal="left" vertical="center" wrapText="1" indent="1"/>
    </xf>
    <xf numFmtId="0" fontId="57" fillId="0" borderId="3" xfId="0" applyNumberFormat="1" applyFont="1" applyBorder="1" applyAlignment="1">
      <alignment horizontal="left" vertical="top" indent="1"/>
    </xf>
    <xf numFmtId="0" fontId="17" fillId="0" borderId="3" xfId="0" applyNumberFormat="1" applyFont="1" applyBorder="1" applyAlignment="1">
      <alignment horizontal="center" vertical="center" wrapText="1"/>
    </xf>
    <xf numFmtId="0" fontId="5" fillId="13" borderId="3" xfId="0" applyNumberFormat="1" applyFont="1" applyFill="1" applyBorder="1" applyAlignment="1">
      <alignment horizontal="left" vertical="center" wrapText="1" indent="1"/>
    </xf>
    <xf numFmtId="49" fontId="5" fillId="13" borderId="3" xfId="0" applyNumberFormat="1" applyFont="1" applyFill="1" applyBorder="1" applyAlignment="1">
      <alignment horizontal="center" vertical="top" wrapText="1"/>
    </xf>
    <xf numFmtId="49" fontId="5" fillId="13" borderId="5" xfId="0" applyNumberFormat="1" applyFont="1" applyFill="1" applyBorder="1" applyAlignment="1">
      <alignment horizontal="center" vertical="top" wrapText="1"/>
    </xf>
    <xf numFmtId="49" fontId="0" fillId="7" borderId="3" xfId="0" applyNumberFormat="1" applyFont="1" applyFill="1" applyBorder="1" applyAlignment="1">
      <alignment horizontal="center" vertical="top" wrapText="1"/>
    </xf>
    <xf numFmtId="0" fontId="5" fillId="7" borderId="3" xfId="0" applyNumberFormat="1" applyFont="1" applyFill="1" applyBorder="1" applyAlignment="1">
      <alignment horizontal="center" vertical="top" wrapText="1"/>
    </xf>
    <xf numFmtId="49" fontId="28" fillId="0" borderId="5" xfId="0" applyNumberFormat="1" applyFont="1" applyBorder="1" applyAlignment="1">
      <alignment horizontal="center" vertical="center" wrapText="1"/>
    </xf>
    <xf numFmtId="49" fontId="21" fillId="10" borderId="42" xfId="0" applyNumberFormat="1" applyFont="1" applyFill="1" applyBorder="1" applyAlignment="1">
      <alignment horizontal="left" vertical="center" indent="1"/>
    </xf>
    <xf numFmtId="49" fontId="5" fillId="7" borderId="3" xfId="0" applyNumberFormat="1" applyFont="1" applyFill="1" applyBorder="1" applyAlignment="1">
      <alignment horizontal="center" vertical="center" wrapText="1"/>
    </xf>
    <xf numFmtId="49" fontId="5" fillId="7" borderId="65" xfId="0" applyNumberFormat="1" applyFont="1" applyFill="1" applyBorder="1" applyAlignment="1">
      <alignment horizontal="center" vertical="center" wrapText="1"/>
    </xf>
    <xf numFmtId="3" fontId="28" fillId="0" borderId="3" xfId="0" applyNumberFormat="1" applyFont="1" applyBorder="1" applyAlignment="1">
      <alignment horizontal="center" vertical="center" wrapText="1"/>
    </xf>
    <xf numFmtId="49" fontId="28" fillId="0" borderId="4" xfId="0" applyNumberFormat="1" applyFont="1" applyBorder="1" applyAlignment="1">
      <alignment horizontal="center" vertical="center" wrapText="1"/>
    </xf>
    <xf numFmtId="49" fontId="28" fillId="0" borderId="4" xfId="0" applyNumberFormat="1" applyFont="1" applyBorder="1" applyAlignment="1">
      <alignment horizontal="left" vertical="center" wrapText="1"/>
    </xf>
    <xf numFmtId="49" fontId="107" fillId="0" borderId="4" xfId="0" applyNumberFormat="1" applyFont="1" applyBorder="1" applyAlignment="1">
      <alignment horizontal="center" vertical="center" wrapText="1"/>
    </xf>
    <xf numFmtId="0" fontId="76" fillId="0" borderId="3" xfId="0" applyNumberFormat="1" applyFont="1" applyBorder="1" applyAlignment="1">
      <alignment horizontal="center" vertical="center"/>
    </xf>
    <xf numFmtId="0" fontId="5" fillId="13" borderId="8" xfId="0" applyNumberFormat="1" applyFont="1" applyFill="1" applyBorder="1" applyAlignment="1">
      <alignment horizontal="left" vertical="center" wrapText="1"/>
    </xf>
    <xf numFmtId="0" fontId="5" fillId="13" borderId="27" xfId="0" applyNumberFormat="1" applyFont="1" applyFill="1" applyBorder="1" applyAlignment="1">
      <alignment horizontal="left" vertical="center" wrapText="1"/>
    </xf>
    <xf numFmtId="49" fontId="5" fillId="13" borderId="8" xfId="0" applyNumberFormat="1" applyFont="1" applyFill="1" applyBorder="1" applyAlignment="1">
      <alignment horizontal="left" vertical="center" wrapText="1"/>
    </xf>
    <xf numFmtId="49" fontId="5" fillId="0" borderId="27" xfId="0" applyNumberFormat="1" applyFont="1" applyBorder="1" applyAlignment="1">
      <alignment horizontal="center" vertical="center"/>
    </xf>
    <xf numFmtId="0" fontId="5" fillId="0" borderId="15" xfId="0" applyNumberFormat="1" applyFont="1" applyBorder="1" applyAlignment="1">
      <alignment horizontal="center" vertical="center"/>
    </xf>
    <xf numFmtId="49" fontId="5" fillId="9" borderId="8" xfId="0" applyNumberFormat="1" applyFont="1" applyFill="1" applyBorder="1" applyAlignment="1" applyProtection="1">
      <alignment horizontal="left" vertical="center" wrapText="1"/>
      <protection locked="0"/>
    </xf>
    <xf numFmtId="0" fontId="21" fillId="10" borderId="6" xfId="0" applyNumberFormat="1" applyFont="1" applyFill="1" applyBorder="1" applyAlignment="1">
      <alignment horizontal="left" vertical="center"/>
    </xf>
    <xf numFmtId="0" fontId="21" fillId="10" borderId="4" xfId="0" applyNumberFormat="1" applyFont="1" applyFill="1" applyBorder="1" applyAlignment="1">
      <alignment horizontal="left" vertical="center"/>
    </xf>
    <xf numFmtId="0" fontId="21" fillId="10" borderId="10" xfId="0" applyNumberFormat="1" applyFont="1" applyFill="1" applyBorder="1" applyAlignment="1">
      <alignment horizontal="left" vertical="center"/>
    </xf>
    <xf numFmtId="0" fontId="21" fillId="10" borderId="11" xfId="0" applyNumberFormat="1" applyFont="1" applyFill="1" applyBorder="1" applyAlignment="1">
      <alignment horizontal="left" vertical="center"/>
    </xf>
    <xf numFmtId="49" fontId="5" fillId="12" borderId="3" xfId="0" applyNumberFormat="1" applyFont="1" applyFill="1" applyBorder="1" applyAlignment="1" applyProtection="1">
      <alignment horizontal="left" vertical="center" wrapText="1"/>
      <protection locked="0"/>
    </xf>
    <xf numFmtId="49" fontId="5" fillId="12" borderId="8" xfId="0" applyNumberFormat="1" applyFont="1" applyFill="1" applyBorder="1" applyAlignment="1" applyProtection="1">
      <alignment horizontal="left" vertical="center" wrapText="1"/>
      <protection locked="0"/>
    </xf>
    <xf numFmtId="49" fontId="5" fillId="13" borderId="4" xfId="0" applyNumberFormat="1" applyFont="1" applyFill="1" applyBorder="1" applyAlignment="1">
      <alignment horizontal="left" vertical="center" wrapText="1"/>
    </xf>
    <xf numFmtId="3" fontId="5" fillId="12" borderId="3" xfId="0" applyNumberFormat="1" applyFont="1" applyFill="1" applyBorder="1" applyAlignment="1" applyProtection="1">
      <alignment horizontal="center" vertical="center" wrapText="1"/>
      <protection locked="0"/>
    </xf>
    <xf numFmtId="49" fontId="5" fillId="13" borderId="5" xfId="0" applyNumberFormat="1" applyFont="1" applyFill="1" applyBorder="1" applyAlignment="1">
      <alignment horizontal="center" vertical="center" wrapText="1"/>
    </xf>
    <xf numFmtId="0" fontId="26" fillId="0" borderId="4" xfId="0" applyNumberFormat="1" applyFont="1" applyBorder="1" applyAlignment="1">
      <alignment horizontal="center" vertical="center"/>
    </xf>
    <xf numFmtId="49" fontId="77" fillId="0" borderId="3" xfId="0" applyNumberFormat="1" applyFont="1" applyBorder="1" applyAlignment="1">
      <alignment horizontal="center" vertical="top" wrapText="1"/>
    </xf>
    <xf numFmtId="0" fontId="77" fillId="14" borderId="3" xfId="0" applyNumberFormat="1" applyFont="1" applyFill="1" applyBorder="1" applyAlignment="1">
      <alignment horizontal="center" vertical="center" wrapText="1"/>
    </xf>
    <xf numFmtId="49" fontId="77" fillId="0" borderId="28" xfId="0" applyNumberFormat="1" applyFont="1" applyBorder="1" applyAlignment="1">
      <alignment horizontal="center" vertical="top" wrapText="1"/>
    </xf>
    <xf numFmtId="49" fontId="77" fillId="0" borderId="21" xfId="0" applyNumberFormat="1" applyFont="1" applyBorder="1" applyAlignment="1">
      <alignment horizontal="center" vertical="top" wrapText="1"/>
    </xf>
    <xf numFmtId="49" fontId="77" fillId="0" borderId="5" xfId="0" applyNumberFormat="1" applyFont="1" applyBorder="1" applyAlignment="1">
      <alignment horizontal="center" vertical="top" wrapText="1"/>
    </xf>
    <xf numFmtId="49" fontId="77" fillId="0" borderId="6" xfId="0" applyNumberFormat="1" applyFont="1" applyBorder="1" applyAlignment="1">
      <alignment horizontal="center" vertical="top" wrapText="1"/>
    </xf>
    <xf numFmtId="49" fontId="77" fillId="0" borderId="4" xfId="0" applyNumberFormat="1" applyFont="1" applyBorder="1" applyAlignment="1">
      <alignment horizontal="center" vertical="top" wrapText="1"/>
    </xf>
    <xf numFmtId="49" fontId="77" fillId="0" borderId="8" xfId="0" applyNumberFormat="1" applyFont="1" applyBorder="1" applyAlignment="1">
      <alignment horizontal="center" vertical="top" wrapText="1"/>
    </xf>
    <xf numFmtId="49" fontId="77" fillId="0" borderId="27" xfId="0" applyNumberFormat="1" applyFont="1" applyBorder="1" applyAlignment="1">
      <alignment horizontal="center" vertical="top" wrapText="1"/>
    </xf>
    <xf numFmtId="49" fontId="77" fillId="0" borderId="14" xfId="0" applyNumberFormat="1" applyFont="1" applyBorder="1" applyAlignment="1">
      <alignment horizontal="center" vertical="top" wrapText="1"/>
    </xf>
    <xf numFmtId="4" fontId="5" fillId="7" borderId="3" xfId="0" applyNumberFormat="1" applyFont="1" applyFill="1" applyBorder="1" applyAlignment="1">
      <alignment horizontal="left" vertical="center" wrapText="1"/>
    </xf>
    <xf numFmtId="0" fontId="5" fillId="0" borderId="0" xfId="0" applyNumberFormat="1" applyFont="1" applyAlignment="1">
      <alignment horizontal="right" vertical="center" wrapText="1"/>
    </xf>
    <xf numFmtId="0" fontId="27" fillId="0" borderId="10" xfId="0" applyNumberFormat="1" applyFont="1" applyBorder="1" applyAlignment="1">
      <alignment horizontal="left" vertical="center" wrapText="1" indent="1"/>
    </xf>
    <xf numFmtId="0" fontId="27" fillId="0" borderId="18" xfId="0" applyNumberFormat="1" applyFont="1" applyBorder="1" applyAlignment="1">
      <alignment horizontal="left" vertical="center" wrapText="1" indent="1"/>
    </xf>
    <xf numFmtId="49" fontId="0" fillId="0" borderId="3" xfId="13" applyNumberFormat="1" applyFont="1" applyBorder="1" applyAlignment="1">
      <alignment horizontal="center" vertical="top"/>
    </xf>
    <xf numFmtId="49" fontId="0" fillId="0" borderId="5" xfId="13" applyNumberFormat="1" applyFont="1" applyBorder="1" applyAlignment="1">
      <alignment horizontal="center" vertical="top"/>
    </xf>
  </cellXfs>
  <cellStyles count="31">
    <cellStyle name=" 1" xfId="2"/>
    <cellStyle name=" 1 2" xfId="3"/>
    <cellStyle name=" 1_Stage1" xfId="2"/>
    <cellStyle name="_Model_RAB Мой_PR.PROG.WARM.NOTCOMBI.2012.2.16_v1.4(04.04.11) " xfId="4"/>
    <cellStyle name="_Model_RAB Мой_Книга2_PR.PROG.WARM.NOTCOMBI.2012.2.16_v1.4(04.04.11) " xfId="4"/>
    <cellStyle name="_Model_RAB_MRSK_svod_PR.PROG.WARM.NOTCOMBI.2012.2.16_v1.4(04.04.11) " xfId="4"/>
    <cellStyle name="_Model_RAB_MRSK_svod_Книга2_PR.PROG.WARM.NOTCOMBI.2012.2.16_v1.4(04.04.11) " xfId="4"/>
    <cellStyle name="_МОДЕЛЬ_1 (2)_PR.PROG.WARM.NOTCOMBI.2012.2.16_v1.4(04.04.11) " xfId="4"/>
    <cellStyle name="_МОДЕЛЬ_1 (2)_Книга2_PR.PROG.WARM.NOTCOMBI.2012.2.16_v1.4(04.04.11) " xfId="4"/>
    <cellStyle name="_пр 5 тариф RAB_PR.PROG.WARM.NOTCOMBI.2012.2.16_v1.4(04.04.11) " xfId="4"/>
    <cellStyle name="_пр 5 тариф RAB_Книга2_PR.PROG.WARM.NOTCOMBI.2012.2.16_v1.4(04.04.11) " xfId="4"/>
    <cellStyle name="_Расчет RAB_22072008_PR.PROG.WARM.NOTCOMBI.2012.2.16_v1.4(04.04.11) " xfId="4"/>
    <cellStyle name="_Расчет RAB_22072008_Книга2_PR.PROG.WARM.NOTCOMBI.2012.2.16_v1.4(04.04.11) " xfId="4"/>
    <cellStyle name="_Расчет RAB_Лен и МОЭСК_с 2010 года_14.04.2009_со сглаж_version 3.0_без ФСК_PR.PROG.WARM.NOTCOMBI.2012.2.16_v1.4(04.04.11) " xfId="4"/>
    <cellStyle name="_Расчет RAB_Лен и МОЭСК_с 2010 года_14.04.2009_со сглаж_version 3.0_без ФСК_Книга2_PR.PROG.WARM.NOTCOMBI.2012.2.16_v1.4(04.04.11) " xfId="4"/>
    <cellStyle name="currency1" xfId="5"/>
    <cellStyle name="Currency2" xfId="6"/>
    <cellStyle name="currency3" xfId="7"/>
    <cellStyle name="currency4" xfId="8"/>
    <cellStyle name="Followed Hyperlink" xfId="9"/>
    <cellStyle name="normal" xfId="1"/>
    <cellStyle name="Normal1" xfId="10"/>
    <cellStyle name="Normal2" xfId="6"/>
    <cellStyle name="Percent1" xfId="6"/>
    <cellStyle name="Обычный" xfId="0" builtinId="0"/>
    <cellStyle name="Обычный 10" xfId="11"/>
    <cellStyle name="Обычный 16" xfId="12"/>
    <cellStyle name="Обычный 2" xfId="13"/>
    <cellStyle name="Обычный_BALANCE.WARM.2007YEAR(FACT)" xfId="14"/>
    <cellStyle name="Обычный_PRIL1.ELECTR" xfId="14"/>
    <cellStyle name="Открывавшаяся гиперссылка" xfId="1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worksheet" Target="worksheets/sheet84.xml"/><Relationship Id="rId89" Type="http://schemas.openxmlformats.org/officeDocument/2006/relationships/worksheet" Target="worksheets/sheet89.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87" Type="http://schemas.openxmlformats.org/officeDocument/2006/relationships/worksheet" Target="worksheets/sheet87.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theme" Target="theme/theme1.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calcChain" Target="calcChain.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1" Type="http://schemas.openxmlformats.org/officeDocument/2006/relationships/image" Target="../media/image7.png"/></Relationships>
</file>

<file path=xl/drawings/_rels/drawing6.xml.rels><?xml version="1.0" encoding="UTF-8" standalone="yes"?>
<Relationships xmlns="http://schemas.openxmlformats.org/package/2006/relationships"><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1" Type="http://schemas.openxmlformats.org/officeDocument/2006/relationships/image" Target="../media/image8.png"/></Relationships>
</file>

<file path=xl/drawings/_rels/drawing8.xml.rels><?xml version="1.0" encoding="UTF-8" standalone="yes"?>
<Relationships xmlns="http://schemas.openxmlformats.org/package/2006/relationships"><Relationship Id="rId1" Type="http://schemas.openxmlformats.org/officeDocument/2006/relationships/image" Target="../media/image7.png"/></Relationships>
</file>

<file path=xl/drawings/drawing1.xml><?xml version="1.0" encoding="utf-8"?>
<xdr:wsDr xmlns:xdr="http://schemas.openxmlformats.org/drawingml/2006/spreadsheetDrawing" xmlns:a="http://schemas.openxmlformats.org/drawingml/2006/main">
  <xdr:twoCellAnchor editAs="oneCell">
    <xdr:from>
      <xdr:col>3</xdr:col>
      <xdr:colOff>57150</xdr:colOff>
      <xdr:row>8</xdr:row>
      <xdr:rowOff>0</xdr:rowOff>
    </xdr:from>
    <xdr:to>
      <xdr:col>4</xdr:col>
      <xdr:colOff>314516</xdr:colOff>
      <xdr:row>11</xdr:row>
      <xdr:rowOff>57341</xdr:rowOff>
    </xdr:to>
    <xdr:pic>
      <xdr:nvPicPr>
        <xdr:cNvPr id="2" name="PHONE_PIC"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16</xdr:row>
      <xdr:rowOff>0</xdr:rowOff>
    </xdr:from>
    <xdr:to>
      <xdr:col>4</xdr:col>
      <xdr:colOff>314516</xdr:colOff>
      <xdr:row>19</xdr:row>
      <xdr:rowOff>76391</xdr:rowOff>
    </xdr:to>
    <xdr:pic>
      <xdr:nvPicPr>
        <xdr:cNvPr id="3" name="PHONE_PIC_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7</xdr:col>
      <xdr:colOff>0</xdr:colOff>
      <xdr:row>4</xdr:row>
      <xdr:rowOff>0</xdr:rowOff>
    </xdr:from>
    <xdr:to>
      <xdr:col>8</xdr:col>
      <xdr:colOff>207645</xdr:colOff>
      <xdr:row>4</xdr:row>
      <xdr:rowOff>207645</xdr:rowOff>
    </xdr:to>
    <xdr:pic>
      <xdr:nvPicPr>
        <xdr:cNvPr id="4" name="cmdCreatePrintedForm" descr="Создание печатной формы"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4</xdr:col>
      <xdr:colOff>0</xdr:colOff>
      <xdr:row>30</xdr:row>
      <xdr:rowOff>0</xdr:rowOff>
    </xdr:from>
    <xdr:to>
      <xdr:col>4</xdr:col>
      <xdr:colOff>288036</xdr:colOff>
      <xdr:row>32</xdr:row>
      <xdr:rowOff>54102</xdr:rowOff>
    </xdr:to>
    <xdr:pic>
      <xdr:nvPicPr>
        <xdr:cNvPr id="5" name="UPDATE_PLAN1X_DATA" descr="update_org.png" hidden="1"/>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editAs="oneCell">
    <xdr:from>
      <xdr:col>3</xdr:col>
      <xdr:colOff>57150</xdr:colOff>
      <xdr:row>65</xdr:row>
      <xdr:rowOff>76200</xdr:rowOff>
    </xdr:from>
    <xdr:to>
      <xdr:col>4</xdr:col>
      <xdr:colOff>321850</xdr:colOff>
      <xdr:row>65</xdr:row>
      <xdr:rowOff>400241</xdr:rowOff>
    </xdr:to>
    <xdr:pic>
      <xdr:nvPicPr>
        <xdr:cNvPr id="6" name="PHONE_PIC_2"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6</xdr:col>
      <xdr:colOff>0</xdr:colOff>
      <xdr:row>8</xdr:row>
      <xdr:rowOff>0</xdr:rowOff>
    </xdr:from>
    <xdr:to>
      <xdr:col>6</xdr:col>
      <xdr:colOff>207645</xdr:colOff>
      <xdr:row>8</xdr:row>
      <xdr:rowOff>207645</xdr:rowOff>
    </xdr:to>
    <xdr:pic>
      <xdr:nvPicPr>
        <xdr:cNvPr id="2" name="ExcludeHelp_2" descr="Справка по листу"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twoCellAnchor>
    <xdr:from>
      <xdr:col>4</xdr:col>
      <xdr:colOff>114300</xdr:colOff>
      <xdr:row>5</xdr:row>
      <xdr:rowOff>0</xdr:rowOff>
    </xdr:from>
    <xdr:to>
      <xdr:col>6</xdr:col>
      <xdr:colOff>18764</xdr:colOff>
      <xdr:row>6</xdr:row>
      <xdr:rowOff>0</xdr:rowOff>
    </xdr:to>
    <xdr:pic>
      <xdr:nvPicPr>
        <xdr:cNvPr id="3" name="Рисунок 1" hidden="1"/>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3</xdr:col>
      <xdr:colOff>73533</xdr:colOff>
      <xdr:row>6</xdr:row>
      <xdr:rowOff>0</xdr:rowOff>
    </xdr:from>
    <xdr:to>
      <xdr:col>4</xdr:col>
      <xdr:colOff>155734</xdr:colOff>
      <xdr:row>6</xdr:row>
      <xdr:rowOff>0</xdr:rowOff>
    </xdr:to>
    <xdr:pic>
      <xdr:nvPicPr>
        <xdr:cNvPr id="2" name="Рисунок 8"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4</xdr:col>
      <xdr:colOff>0</xdr:colOff>
      <xdr:row>8</xdr:row>
      <xdr:rowOff>0</xdr:rowOff>
    </xdr:from>
    <xdr:to>
      <xdr:col>5</xdr:col>
      <xdr:colOff>0</xdr:colOff>
      <xdr:row>9</xdr:row>
      <xdr:rowOff>30480</xdr:rowOff>
    </xdr:to>
    <xdr:pic>
      <xdr:nvPicPr>
        <xdr:cNvPr id="2" name="UNFREEZE_PANES_I11"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5.xml><?xml version="1.0" encoding="utf-8"?>
<xdr:wsDr xmlns:xdr="http://schemas.openxmlformats.org/drawingml/2006/spreadsheetDrawing" xmlns:a="http://schemas.openxmlformats.org/drawingml/2006/main">
  <xdr:twoCellAnchor>
    <xdr:from>
      <xdr:col>4</xdr:col>
      <xdr:colOff>0</xdr:colOff>
      <xdr:row>4</xdr:row>
      <xdr:rowOff>0</xdr:rowOff>
    </xdr:from>
    <xdr:to>
      <xdr:col>8</xdr:col>
      <xdr:colOff>0</xdr:colOff>
      <xdr:row>5</xdr:row>
      <xdr:rowOff>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13</xdr:row>
      <xdr:rowOff>0</xdr:rowOff>
    </xdr:from>
    <xdr:to>
      <xdr:col>3</xdr:col>
      <xdr:colOff>0</xdr:colOff>
      <xdr:row>13</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13</xdr:row>
      <xdr:rowOff>0</xdr:rowOff>
    </xdr:from>
    <xdr:to>
      <xdr:col>4</xdr:col>
      <xdr:colOff>0</xdr:colOff>
      <xdr:row>13</xdr:row>
      <xdr:rowOff>171450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4</xdr:row>
      <xdr:rowOff>0</xdr:rowOff>
    </xdr:from>
    <xdr:to>
      <xdr:col>3</xdr:col>
      <xdr:colOff>0</xdr:colOff>
      <xdr:row>4</xdr:row>
      <xdr:rowOff>247650</xdr:rowOff>
    </xdr:to>
    <xdr:pic>
      <xdr:nvPicPr>
        <xdr:cNvPr id="2" name="UNFREEZE_PANES" descr="update_org.png" hidden="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0" y="0"/>
          <a:ext cx="0" cy="0"/>
        </a:xfrm>
        <a:prstGeom prst="rect">
          <a:avLst/>
        </a:prstGeom>
        <a:ln w="0">
          <a:noFill/>
          <a:prstDash val="solid"/>
        </a:ln>
      </xdr:spPr>
    </xdr:pic>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drawing" Target="../drawings/drawing1.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5.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36.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hyperlink" Target="https://tarif.72to.ru/lk/files/Files/RwGAXB/57caff76-2553-4b9c-8e33-dc3f99814b2b" TargetMode="External"/></Relationships>
</file>

<file path=xl/worksheets/_rels/sheet49.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51.xml.rels><?xml version="1.0" encoding="UTF-8" standalone="yes"?>
<Relationships xmlns="http://schemas.openxmlformats.org/package/2006/relationships"><Relationship Id="rId2" Type="http://schemas.openxmlformats.org/officeDocument/2006/relationships/comments" Target="../comments2.xml"/><Relationship Id="rId1" Type="http://schemas.openxmlformats.org/officeDocument/2006/relationships/vmlDrawing" Target="../drawings/vmlDrawing2.vml"/></Relationships>
</file>

<file path=xl/worksheets/_rels/sheet63.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21"/>
  <sheetViews>
    <sheetView showGridLines="0" showRowColHeaders="0" workbookViewId="0"/>
  </sheetViews>
  <sheetFormatPr defaultColWidth="11" defaultRowHeight="12.75" customHeight="1"/>
  <cols>
    <col min="1" max="1" width="5.42578125" style="2027" customWidth="1"/>
    <col min="2" max="2" width="9.140625" style="2027" customWidth="1"/>
    <col min="3" max="3" width="16.42578125" style="2027" customWidth="1"/>
    <col min="4" max="25" width="6.28515625" style="2027" customWidth="1"/>
    <col min="26" max="28" width="11" style="2027"/>
  </cols>
  <sheetData>
    <row r="1" spans="1:28" ht="15.75" customHeight="1">
      <c r="A1" s="1627"/>
      <c r="B1" s="1628"/>
      <c r="C1" s="1628"/>
      <c r="D1" s="1628"/>
      <c r="E1" s="1628"/>
      <c r="F1" s="1628"/>
      <c r="G1" s="1628"/>
      <c r="H1" s="1628"/>
      <c r="I1" s="1628"/>
      <c r="J1" s="1628"/>
      <c r="K1" s="1628"/>
      <c r="L1" s="1628"/>
      <c r="M1" s="1628"/>
      <c r="N1" s="1628"/>
      <c r="O1" s="1628"/>
      <c r="P1" s="1628"/>
      <c r="Q1" s="1628"/>
      <c r="R1" s="1628"/>
      <c r="S1" s="1628"/>
      <c r="T1" s="1628"/>
      <c r="U1" s="1628"/>
      <c r="V1" s="1628"/>
      <c r="W1" s="1628"/>
      <c r="X1" s="1628"/>
      <c r="Y1" s="1629"/>
      <c r="Z1" s="1628"/>
      <c r="AA1" s="1630" t="s">
        <v>0</v>
      </c>
      <c r="AB1" s="1628"/>
    </row>
    <row r="2" spans="1:28" ht="17.25" customHeight="1">
      <c r="A2" s="1628"/>
      <c r="B2" s="2731" t="s">
        <v>1</v>
      </c>
      <c r="C2" s="2731"/>
      <c r="D2" s="2731"/>
      <c r="E2" s="2731"/>
      <c r="F2" s="2731"/>
      <c r="G2" s="2731"/>
      <c r="H2" s="2731"/>
      <c r="I2" s="2731"/>
      <c r="J2" s="2731"/>
      <c r="K2" s="2731"/>
      <c r="L2" s="2731"/>
      <c r="M2" s="2731"/>
      <c r="N2" s="2731"/>
      <c r="O2" s="2731"/>
      <c r="P2" s="2731"/>
      <c r="Q2" s="1631"/>
      <c r="R2" s="1631"/>
      <c r="S2" s="1631"/>
      <c r="T2" s="1631"/>
      <c r="U2" s="1631"/>
      <c r="V2" s="1632"/>
      <c r="W2" s="1631"/>
      <c r="X2" s="1631"/>
      <c r="Y2" s="1629"/>
      <c r="Z2" s="1628"/>
      <c r="AA2" s="1630"/>
      <c r="AB2" s="1628"/>
    </row>
    <row r="3" spans="1:28" ht="15.75" customHeight="1">
      <c r="A3" s="1628"/>
      <c r="B3" s="2732" t="s">
        <v>2</v>
      </c>
      <c r="C3" s="2732"/>
      <c r="D3" s="2732"/>
      <c r="E3" s="2732"/>
      <c r="F3" s="2732"/>
      <c r="G3" s="2732"/>
      <c r="H3" s="2732"/>
      <c r="I3" s="2732"/>
      <c r="J3" s="2732"/>
      <c r="K3" s="2732"/>
      <c r="L3" s="2732"/>
      <c r="M3" s="2732"/>
      <c r="N3" s="2732"/>
      <c r="O3" s="2732"/>
      <c r="P3" s="2732"/>
      <c r="Q3" s="1632"/>
      <c r="R3" s="1632"/>
      <c r="S3" s="1631"/>
      <c r="T3" s="1631"/>
      <c r="U3" s="1631"/>
      <c r="V3" s="1632"/>
      <c r="W3" s="1632"/>
      <c r="X3" s="1632"/>
      <c r="Y3" s="1632"/>
      <c r="Z3" s="1628"/>
      <c r="AA3" s="1630"/>
      <c r="AB3" s="1628"/>
    </row>
    <row r="4" spans="1:28" ht="17.25" customHeight="1">
      <c r="A4" s="1628"/>
      <c r="B4" s="1633"/>
      <c r="C4" s="1628"/>
      <c r="D4" s="1632"/>
      <c r="E4" s="1632"/>
      <c r="F4" s="1632"/>
      <c r="G4" s="1632"/>
      <c r="H4" s="1632"/>
      <c r="I4" s="1632"/>
      <c r="J4" s="1632"/>
      <c r="K4" s="1632"/>
      <c r="L4" s="1632"/>
      <c r="M4" s="1632"/>
      <c r="N4" s="1632"/>
      <c r="O4" s="1632"/>
      <c r="P4" s="1632"/>
      <c r="Q4" s="1632"/>
      <c r="R4" s="1632"/>
      <c r="S4" s="1632"/>
      <c r="T4" s="1632"/>
      <c r="U4" s="1632"/>
      <c r="V4" s="1632"/>
      <c r="W4" s="1632"/>
      <c r="X4" s="1632"/>
      <c r="Y4" s="1632"/>
      <c r="Z4" s="1628"/>
      <c r="AA4" s="1630"/>
      <c r="AB4" s="1628"/>
    </row>
    <row r="5" spans="1:28" ht="22.5" customHeight="1">
      <c r="A5" s="1634"/>
      <c r="B5" s="2733" t="str">
        <f>IF(TEMPLATE_SPHERE="","Информация, подлежащая раскрытию регулируемыми организациями",Титульный!E5)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C5" s="2734"/>
      <c r="D5" s="2734"/>
      <c r="E5" s="2734"/>
      <c r="F5" s="2734"/>
      <c r="G5" s="2734"/>
      <c r="H5" s="2734"/>
      <c r="I5" s="2734"/>
      <c r="J5" s="2734"/>
      <c r="K5" s="2734"/>
      <c r="L5" s="2734"/>
      <c r="M5" s="2734"/>
      <c r="N5" s="2734"/>
      <c r="O5" s="2734"/>
      <c r="P5" s="2734"/>
      <c r="Q5" s="2734"/>
      <c r="R5" s="2734"/>
      <c r="S5" s="2734"/>
      <c r="T5" s="2734"/>
      <c r="U5" s="2734"/>
      <c r="V5" s="2734"/>
      <c r="W5" s="2734"/>
      <c r="X5" s="2734"/>
      <c r="Y5" s="2735"/>
      <c r="Z5" s="1634"/>
      <c r="AA5" s="1630"/>
      <c r="AB5" s="1634"/>
    </row>
    <row r="6" spans="1:28" ht="15" customHeight="1">
      <c r="A6" s="1635"/>
      <c r="B6" s="2723" t="s">
        <v>3</v>
      </c>
      <c r="C6" s="2726"/>
      <c r="D6" s="1636"/>
      <c r="E6" s="1636"/>
      <c r="F6" s="1636"/>
      <c r="G6" s="1636"/>
      <c r="H6" s="1636"/>
      <c r="I6" s="1636"/>
      <c r="J6" s="1636"/>
      <c r="K6" s="1636"/>
      <c r="L6" s="1636"/>
      <c r="M6" s="1636"/>
      <c r="N6" s="1636"/>
      <c r="O6" s="1636"/>
      <c r="P6" s="1636"/>
      <c r="Q6" s="1636"/>
      <c r="R6" s="1636"/>
      <c r="S6" s="1636"/>
      <c r="T6" s="1636"/>
      <c r="U6" s="1636"/>
      <c r="V6" s="1636"/>
      <c r="W6" s="1636"/>
      <c r="X6" s="1636"/>
      <c r="Y6" s="1637"/>
      <c r="Z6" s="1638"/>
      <c r="AA6" s="1639"/>
      <c r="AB6" s="1639"/>
    </row>
    <row r="7" spans="1:28" ht="15" customHeight="1">
      <c r="A7" s="1635"/>
      <c r="B7" s="2723"/>
      <c r="C7" s="2726"/>
      <c r="D7" s="1636"/>
      <c r="E7" s="1636"/>
      <c r="F7" s="1640"/>
      <c r="G7" s="1640"/>
      <c r="H7" s="1640"/>
      <c r="I7" s="1640"/>
      <c r="J7" s="1640"/>
      <c r="K7" s="1640"/>
      <c r="L7" s="1640"/>
      <c r="M7" s="1640"/>
      <c r="N7" s="1640"/>
      <c r="O7" s="1636"/>
      <c r="P7" s="1640"/>
      <c r="Q7" s="1640"/>
      <c r="R7" s="1640"/>
      <c r="S7" s="1640"/>
      <c r="T7" s="1640"/>
      <c r="U7" s="1640"/>
      <c r="V7" s="1640"/>
      <c r="W7" s="1640"/>
      <c r="X7" s="1640"/>
      <c r="Y7" s="1637"/>
      <c r="Z7" s="1638"/>
      <c r="AA7" s="1639"/>
      <c r="AB7" s="1639"/>
    </row>
    <row r="8" spans="1:28" ht="15" customHeight="1">
      <c r="A8" s="1635"/>
      <c r="B8" s="2723"/>
      <c r="C8" s="2726"/>
      <c r="D8" s="1641"/>
      <c r="E8" s="1642" t="s">
        <v>4</v>
      </c>
      <c r="F8" s="2736" t="s">
        <v>5</v>
      </c>
      <c r="G8" s="2725"/>
      <c r="H8" s="2725"/>
      <c r="I8" s="2725"/>
      <c r="J8" s="2725"/>
      <c r="K8" s="2725"/>
      <c r="L8" s="2725"/>
      <c r="M8" s="2725"/>
      <c r="N8" s="1641"/>
      <c r="O8" s="1643" t="s">
        <v>4</v>
      </c>
      <c r="P8" s="2737" t="s">
        <v>6</v>
      </c>
      <c r="Q8" s="2738"/>
      <c r="R8" s="2738"/>
      <c r="S8" s="2738"/>
      <c r="T8" s="2738"/>
      <c r="U8" s="2738"/>
      <c r="V8" s="2738"/>
      <c r="W8" s="2738"/>
      <c r="X8" s="2738"/>
      <c r="Y8" s="1637"/>
      <c r="Z8" s="1638"/>
      <c r="AA8" s="1639"/>
      <c r="AB8" s="1639"/>
    </row>
    <row r="9" spans="1:28" ht="15" customHeight="1">
      <c r="A9" s="1635"/>
      <c r="B9" s="2723"/>
      <c r="C9" s="2726"/>
      <c r="D9" s="1641"/>
      <c r="E9" s="1644" t="s">
        <v>4</v>
      </c>
      <c r="F9" s="2736" t="s">
        <v>7</v>
      </c>
      <c r="G9" s="2725"/>
      <c r="H9" s="2725"/>
      <c r="I9" s="2725"/>
      <c r="J9" s="2725"/>
      <c r="K9" s="2725"/>
      <c r="L9" s="2725"/>
      <c r="M9" s="2725"/>
      <c r="N9" s="1641"/>
      <c r="O9" s="1645" t="s">
        <v>4</v>
      </c>
      <c r="P9" s="2737" t="s">
        <v>8</v>
      </c>
      <c r="Q9" s="2738"/>
      <c r="R9" s="2738"/>
      <c r="S9" s="2738"/>
      <c r="T9" s="2738"/>
      <c r="U9" s="2738"/>
      <c r="V9" s="2738"/>
      <c r="W9" s="2738"/>
      <c r="X9" s="2738"/>
      <c r="Y9" s="1637"/>
      <c r="Z9" s="1638"/>
      <c r="AA9" s="1639"/>
      <c r="AB9" s="1639"/>
    </row>
    <row r="10" spans="1:28" ht="30" customHeight="1">
      <c r="A10" s="1635"/>
      <c r="B10" s="2723"/>
      <c r="C10" s="2724"/>
      <c r="D10" s="1646"/>
      <c r="E10" s="1647"/>
      <c r="F10" s="1640"/>
      <c r="G10" s="1640"/>
      <c r="H10" s="1640"/>
      <c r="I10" s="1640"/>
      <c r="J10" s="1640"/>
      <c r="K10" s="1640"/>
      <c r="L10" s="1640"/>
      <c r="M10" s="1640"/>
      <c r="N10" s="1640"/>
      <c r="O10" s="1647"/>
      <c r="P10" s="1640"/>
      <c r="Q10" s="1640"/>
      <c r="R10" s="1640"/>
      <c r="S10" s="1640"/>
      <c r="T10" s="1640"/>
      <c r="U10" s="1640"/>
      <c r="V10" s="1640"/>
      <c r="W10" s="1640"/>
      <c r="X10" s="1640"/>
      <c r="Y10" s="1637"/>
      <c r="Z10" s="1638"/>
      <c r="AA10" s="1639"/>
      <c r="AB10" s="1639"/>
    </row>
    <row r="11" spans="1:28" ht="19.5" customHeight="1">
      <c r="A11" s="1635"/>
      <c r="B11" s="1" t="s">
        <v>9</v>
      </c>
      <c r="C11" s="2722"/>
      <c r="D11" s="1641"/>
      <c r="E11" s="1648"/>
      <c r="F11" s="1648"/>
      <c r="G11" s="1648"/>
      <c r="H11" s="1648"/>
      <c r="I11" s="1648"/>
      <c r="J11" s="1648"/>
      <c r="K11" s="1648"/>
      <c r="L11" s="1648"/>
      <c r="M11" s="1648"/>
      <c r="N11" s="1648"/>
      <c r="O11" s="1648"/>
      <c r="P11" s="1648"/>
      <c r="Q11" s="1648"/>
      <c r="R11" s="1648"/>
      <c r="S11" s="1648"/>
      <c r="T11" s="1648"/>
      <c r="U11" s="1648"/>
      <c r="V11" s="1648"/>
      <c r="W11" s="1648"/>
      <c r="X11" s="1648"/>
      <c r="Y11" s="1637"/>
      <c r="Z11" s="1638"/>
      <c r="AA11" s="1639"/>
      <c r="AB11" s="1639"/>
    </row>
    <row r="12" spans="1:28" ht="69" customHeight="1">
      <c r="A12" s="1635"/>
      <c r="B12" s="2723"/>
      <c r="C12" s="2724"/>
      <c r="D12" s="1649"/>
      <c r="E12" s="2725" t="s">
        <v>10</v>
      </c>
      <c r="F12" s="2725"/>
      <c r="G12" s="2725"/>
      <c r="H12" s="2725"/>
      <c r="I12" s="2725"/>
      <c r="J12" s="2725"/>
      <c r="K12" s="2725"/>
      <c r="L12" s="2725"/>
      <c r="M12" s="2725"/>
      <c r="N12" s="2725"/>
      <c r="O12" s="2725"/>
      <c r="P12" s="2725"/>
      <c r="Q12" s="2725"/>
      <c r="R12" s="2725"/>
      <c r="S12" s="2725"/>
      <c r="T12" s="2725"/>
      <c r="U12" s="2725"/>
      <c r="V12" s="2725"/>
      <c r="W12" s="2725"/>
      <c r="X12" s="2725"/>
      <c r="Y12" s="1637"/>
      <c r="Z12" s="1638"/>
      <c r="AA12" s="1639"/>
      <c r="AB12" s="1639"/>
    </row>
    <row r="13" spans="1:28" ht="15" customHeight="1">
      <c r="A13" s="1635"/>
      <c r="B13" s="1" t="s">
        <v>11</v>
      </c>
      <c r="C13" s="2722"/>
      <c r="D13" s="1636"/>
      <c r="E13" s="1648"/>
      <c r="F13" s="1648"/>
      <c r="G13" s="1648"/>
      <c r="H13" s="1648"/>
      <c r="I13" s="1648"/>
      <c r="J13" s="1648"/>
      <c r="K13" s="1648"/>
      <c r="L13" s="1648"/>
      <c r="M13" s="1648"/>
      <c r="N13" s="1648"/>
      <c r="O13" s="1648"/>
      <c r="P13" s="1648"/>
      <c r="Q13" s="1648"/>
      <c r="R13" s="1648"/>
      <c r="S13" s="1648"/>
      <c r="T13" s="1648"/>
      <c r="U13" s="1648"/>
      <c r="V13" s="1648"/>
      <c r="W13" s="1648"/>
      <c r="X13" s="1648"/>
      <c r="Y13" s="1637"/>
      <c r="Z13" s="1638"/>
      <c r="AA13" s="1639"/>
      <c r="AB13" s="1639"/>
    </row>
    <row r="14" spans="1:28" ht="57" customHeight="1">
      <c r="A14" s="1635"/>
      <c r="B14" s="2723"/>
      <c r="C14" s="2726"/>
      <c r="D14" s="1641"/>
      <c r="E14" s="2729" t="s">
        <v>12</v>
      </c>
      <c r="F14" s="2729"/>
      <c r="G14" s="2729"/>
      <c r="H14" s="2729"/>
      <c r="I14" s="2729"/>
      <c r="J14" s="2729"/>
      <c r="K14" s="2729"/>
      <c r="L14" s="2729"/>
      <c r="M14" s="2729"/>
      <c r="N14" s="2729"/>
      <c r="O14" s="2729"/>
      <c r="P14" s="2729"/>
      <c r="Q14" s="2729"/>
      <c r="R14" s="2729"/>
      <c r="S14" s="2729"/>
      <c r="T14" s="2729"/>
      <c r="U14" s="2729"/>
      <c r="V14" s="2729"/>
      <c r="W14" s="2729"/>
      <c r="X14" s="2729"/>
      <c r="Y14" s="1637"/>
      <c r="Z14" s="1638"/>
      <c r="AA14" s="1639"/>
      <c r="AB14" s="1639"/>
    </row>
    <row r="15" spans="1:28" ht="16.5" customHeight="1">
      <c r="A15" s="1635"/>
      <c r="B15" s="2727"/>
      <c r="C15" s="2728"/>
      <c r="D15" s="1650"/>
      <c r="E15" s="1651"/>
      <c r="F15" s="1651"/>
      <c r="G15" s="1651"/>
      <c r="H15" s="1651"/>
      <c r="I15" s="1651"/>
      <c r="J15" s="1651"/>
      <c r="K15" s="1651"/>
      <c r="L15" s="1651"/>
      <c r="M15" s="1651"/>
      <c r="N15" s="1651"/>
      <c r="O15" s="1651"/>
      <c r="P15" s="1651"/>
      <c r="Q15" s="1651"/>
      <c r="R15" s="1651"/>
      <c r="S15" s="1651"/>
      <c r="T15" s="1651"/>
      <c r="U15" s="1651"/>
      <c r="V15" s="1651"/>
      <c r="W15" s="1651"/>
      <c r="X15" s="1651"/>
      <c r="Y15" s="1652"/>
      <c r="Z15" s="1638"/>
      <c r="AA15" s="1653"/>
      <c r="AB15" s="1639"/>
    </row>
    <row r="16" spans="1:28" ht="95.25" customHeight="1">
      <c r="A16" s="1628"/>
      <c r="B16" s="2729"/>
      <c r="C16" s="2730"/>
      <c r="D16" s="2730"/>
      <c r="E16" s="2730"/>
      <c r="F16" s="2730"/>
      <c r="G16" s="2730"/>
      <c r="H16" s="2730"/>
      <c r="I16" s="2730"/>
      <c r="J16" s="2730"/>
      <c r="K16" s="2730"/>
      <c r="L16" s="2730"/>
      <c r="M16" s="2730"/>
      <c r="N16" s="2730"/>
      <c r="O16" s="2730"/>
      <c r="P16" s="2730"/>
      <c r="Q16" s="2730"/>
      <c r="R16" s="2730"/>
      <c r="S16" s="2730"/>
      <c r="T16" s="2730"/>
      <c r="U16" s="2730"/>
      <c r="V16" s="2730"/>
      <c r="W16" s="2730"/>
      <c r="X16" s="2730"/>
      <c r="Y16" s="2730"/>
      <c r="Z16" s="1628"/>
      <c r="AA16" s="1630"/>
      <c r="AB16" s="1628"/>
    </row>
    <row r="17" spans="1:28" ht="14.25" customHeight="1">
      <c r="A17" s="1628"/>
      <c r="B17" s="1628"/>
      <c r="C17" s="1628"/>
      <c r="D17" s="1628"/>
      <c r="E17" s="1628"/>
      <c r="F17" s="1628"/>
      <c r="G17" s="1628"/>
      <c r="H17" s="1628"/>
      <c r="I17" s="1628"/>
      <c r="J17" s="1628"/>
      <c r="K17" s="1628"/>
      <c r="L17" s="1628"/>
      <c r="M17" s="1628"/>
      <c r="N17" s="1628"/>
      <c r="O17" s="1628"/>
      <c r="P17" s="1628"/>
      <c r="Q17" s="1628"/>
      <c r="R17" s="1628"/>
      <c r="S17" s="1628"/>
      <c r="T17" s="1628"/>
      <c r="U17" s="1628"/>
      <c r="V17" s="1628"/>
      <c r="W17" s="1628"/>
      <c r="X17" s="1628"/>
      <c r="Y17" s="1629"/>
      <c r="Z17" s="1628"/>
      <c r="AA17" s="1630"/>
      <c r="AB17" s="1628"/>
    </row>
    <row r="18" spans="1:28" ht="14.25" customHeight="1">
      <c r="A18" s="1628"/>
      <c r="B18" s="1628"/>
      <c r="C18" s="1628"/>
      <c r="D18" s="1628"/>
      <c r="E18" s="1628"/>
      <c r="F18" s="1628"/>
      <c r="G18" s="1628"/>
      <c r="H18" s="1628"/>
      <c r="I18" s="1628"/>
      <c r="J18" s="1628"/>
      <c r="K18" s="1628"/>
      <c r="L18" s="1628"/>
      <c r="M18" s="1628"/>
      <c r="N18" s="1628"/>
      <c r="O18" s="1628"/>
      <c r="P18" s="1628"/>
      <c r="Q18" s="1628"/>
      <c r="R18" s="1628"/>
      <c r="S18" s="1628"/>
      <c r="T18" s="1628"/>
      <c r="U18" s="1628"/>
      <c r="V18" s="1628"/>
      <c r="W18" s="1628"/>
      <c r="X18" s="1628"/>
      <c r="Y18" s="1629"/>
      <c r="Z18" s="1628"/>
      <c r="AA18" s="1630"/>
      <c r="AB18" s="1628"/>
    </row>
    <row r="19" spans="1:28" ht="14.25" customHeight="1">
      <c r="A19" s="1628"/>
      <c r="B19" s="1628"/>
      <c r="C19" s="1628"/>
      <c r="D19" s="1628"/>
      <c r="E19" s="1628"/>
      <c r="F19" s="1628"/>
      <c r="G19" s="1628"/>
      <c r="H19" s="1628"/>
      <c r="I19" s="1628"/>
      <c r="J19" s="1628"/>
      <c r="K19" s="1628"/>
      <c r="L19" s="1628"/>
      <c r="M19" s="1628"/>
      <c r="N19" s="1628"/>
      <c r="O19" s="1628"/>
      <c r="P19" s="1628"/>
      <c r="Q19" s="1628"/>
      <c r="R19" s="1628"/>
      <c r="S19" s="1628"/>
      <c r="T19" s="1628"/>
      <c r="U19" s="1628"/>
      <c r="V19" s="1628"/>
      <c r="W19" s="1628"/>
      <c r="X19" s="1628"/>
      <c r="Y19" s="1629"/>
      <c r="Z19" s="1628"/>
      <c r="AA19" s="1630"/>
      <c r="AB19" s="1628"/>
    </row>
    <row r="20" spans="1:28" ht="14.25" customHeight="1">
      <c r="A20" s="1628"/>
      <c r="B20" s="1628"/>
      <c r="C20" s="1628"/>
      <c r="D20" s="1628"/>
      <c r="E20" s="1628"/>
      <c r="F20" s="1628"/>
      <c r="G20" s="1628"/>
      <c r="H20" s="1628"/>
      <c r="I20" s="1628"/>
      <c r="J20" s="1628"/>
      <c r="K20" s="1628"/>
      <c r="L20" s="1628"/>
      <c r="M20" s="1628"/>
      <c r="N20" s="1628"/>
      <c r="O20" s="1628"/>
      <c r="P20" s="1628"/>
      <c r="Q20" s="1628"/>
      <c r="R20" s="1628"/>
      <c r="S20" s="1628"/>
      <c r="T20" s="1628"/>
      <c r="U20" s="1628"/>
      <c r="V20" s="1628"/>
      <c r="W20" s="1628"/>
      <c r="X20" s="1628"/>
      <c r="Y20" s="1629"/>
      <c r="Z20" s="1628"/>
      <c r="AA20" s="1630"/>
      <c r="AB20" s="1628"/>
    </row>
    <row r="21" spans="1:28" ht="14.25" customHeight="1">
      <c r="A21" s="1628"/>
      <c r="B21" s="1628"/>
      <c r="C21" s="1628"/>
      <c r="D21" s="1628"/>
      <c r="E21" s="1628"/>
      <c r="F21" s="1628"/>
      <c r="G21" s="1628"/>
      <c r="H21" s="1628"/>
      <c r="I21" s="1628"/>
      <c r="J21" s="1628"/>
      <c r="K21" s="1628"/>
      <c r="L21" s="1628"/>
      <c r="M21" s="1628"/>
      <c r="N21" s="1628"/>
      <c r="O21" s="1628"/>
      <c r="P21" s="1628"/>
      <c r="Q21" s="1628"/>
      <c r="R21" s="1628"/>
      <c r="S21" s="1628"/>
      <c r="T21" s="1628"/>
      <c r="U21" s="1628"/>
      <c r="V21" s="1628"/>
      <c r="W21" s="1628"/>
      <c r="X21" s="1628"/>
      <c r="Y21" s="1629"/>
      <c r="Z21" s="1628"/>
      <c r="AA21" s="1630"/>
      <c r="AB21" s="1628"/>
    </row>
  </sheetData>
  <sheetProtection formatColumns="0" formatRows="0" insertRows="0" deleteColumns="0" deleteRows="0" sort="0" autoFilter="0"/>
  <mergeCells count="13">
    <mergeCell ref="B2:P2"/>
    <mergeCell ref="B3:P3"/>
    <mergeCell ref="B5:Y5"/>
    <mergeCell ref="B6:C10"/>
    <mergeCell ref="F8:M8"/>
    <mergeCell ref="P8:X8"/>
    <mergeCell ref="F9:M9"/>
    <mergeCell ref="P9:X9"/>
    <mergeCell ref="B11:C12"/>
    <mergeCell ref="E12:X12"/>
    <mergeCell ref="B13:C15"/>
    <mergeCell ref="E14:X14"/>
    <mergeCell ref="B16:Y16"/>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W19"/>
  <sheetViews>
    <sheetView showGridLines="0" zoomScale="90" workbookViewId="0">
      <pane xSplit="6" ySplit="11" topLeftCell="G12" activePane="bottomRight" state="frozen"/>
      <selection pane="topRight" activeCell="G1" sqref="G1"/>
      <selection pane="bottomLeft" activeCell="A12" sqref="A12"/>
      <selection pane="bottomRight"/>
    </sheetView>
  </sheetViews>
  <sheetFormatPr defaultColWidth="10.5703125" defaultRowHeight="14.25" customHeight="1"/>
  <cols>
    <col min="1" max="1" width="9.140625" style="1559" hidden="1" customWidth="1"/>
    <col min="2" max="3" width="9.140625" style="1562" hidden="1" customWidth="1"/>
    <col min="4" max="4" width="3" style="1767" customWidth="1"/>
    <col min="5" max="5" width="6" style="1562" customWidth="1"/>
    <col min="6" max="6" width="1.7109375" style="1562" hidden="1" customWidth="1"/>
    <col min="7" max="8" width="30" style="1562" customWidth="1"/>
    <col min="9" max="9" width="8" style="1562" customWidth="1"/>
    <col min="10" max="10" width="12.140625" style="1562" customWidth="1"/>
    <col min="11" max="11" width="46" style="1562" customWidth="1"/>
    <col min="12" max="12" width="100" style="1562" customWidth="1"/>
    <col min="13" max="13" width="7" style="1745" customWidth="1"/>
    <col min="14" max="22" width="10" style="1562" customWidth="1"/>
    <col min="23" max="23" width="10.5703125" style="1562" hidden="1"/>
  </cols>
  <sheetData>
    <row r="1" spans="1:23" s="1569" customFormat="1" ht="5.25" hidden="1" customHeight="1">
      <c r="C1" s="448"/>
      <c r="D1" s="431"/>
      <c r="F1" s="448"/>
      <c r="G1" s="426" t="s">
        <v>88</v>
      </c>
      <c r="H1" s="426" t="s">
        <v>89</v>
      </c>
      <c r="I1" s="426" t="s">
        <v>90</v>
      </c>
      <c r="P1" s="426" t="s">
        <v>88</v>
      </c>
      <c r="Q1" s="426" t="s">
        <v>89</v>
      </c>
      <c r="R1" s="426" t="s">
        <v>90</v>
      </c>
      <c r="W1" s="426" t="s">
        <v>14</v>
      </c>
    </row>
    <row r="2" spans="1:23" s="1569" customFormat="1" ht="5.25" hidden="1" customHeight="1">
      <c r="C2" s="448"/>
      <c r="D2" s="431"/>
      <c r="F2" s="448"/>
      <c r="W2" s="426">
        <v>0</v>
      </c>
    </row>
    <row r="3" spans="1:23" s="1539" customFormat="1" ht="5.25" customHeight="1">
      <c r="A3" s="416"/>
      <c r="D3" s="423"/>
      <c r="E3" s="418"/>
      <c r="F3" s="418"/>
      <c r="G3" s="418"/>
      <c r="H3" s="418"/>
      <c r="I3" s="419"/>
      <c r="J3" s="420"/>
      <c r="K3" s="420"/>
      <c r="L3" s="420"/>
      <c r="W3" s="417">
        <v>5</v>
      </c>
    </row>
    <row r="4" spans="1:23" ht="23.25" customHeight="1">
      <c r="D4" s="387"/>
      <c r="E4" s="2751" t="s">
        <v>433</v>
      </c>
      <c r="F4" s="2751"/>
      <c r="G4" s="2752"/>
      <c r="H4" s="2752"/>
      <c r="I4" s="2753"/>
      <c r="J4" s="428"/>
      <c r="K4" s="390"/>
      <c r="L4" s="390"/>
      <c r="W4" s="384">
        <v>22</v>
      </c>
    </row>
    <row r="5" spans="1:23" s="1562" customFormat="1" ht="18" customHeight="1">
      <c r="A5" s="694"/>
      <c r="D5" s="753"/>
      <c r="E5" s="2871" t="str">
        <f>IF(org=0,"Не определено",org)</f>
        <v>ТМУП "ТТС"</v>
      </c>
      <c r="F5" s="2871"/>
      <c r="G5" s="2872"/>
      <c r="H5" s="2872"/>
      <c r="I5" s="2873"/>
      <c r="J5" s="428"/>
      <c r="K5" s="390"/>
      <c r="L5" s="390"/>
      <c r="M5" s="444"/>
      <c r="W5" s="693">
        <v>17</v>
      </c>
    </row>
    <row r="6" spans="1:23" s="1539" customFormat="1" ht="11.25" customHeight="1">
      <c r="A6" s="416"/>
      <c r="D6" s="423"/>
      <c r="E6" s="418"/>
      <c r="F6" s="418"/>
      <c r="G6" s="421"/>
      <c r="H6" s="421"/>
      <c r="I6" s="422"/>
      <c r="J6" s="422"/>
      <c r="K6" s="689"/>
      <c r="L6" s="422"/>
      <c r="W6" s="417">
        <v>11</v>
      </c>
    </row>
    <row r="7" spans="1:23" ht="15" customHeight="1">
      <c r="D7" s="387"/>
      <c r="E7" s="2856" t="s">
        <v>345</v>
      </c>
      <c r="F7" s="2856"/>
      <c r="G7" s="2857"/>
      <c r="H7" s="2857"/>
      <c r="I7" s="2857"/>
      <c r="J7" s="2857"/>
      <c r="K7" s="2857"/>
      <c r="L7" s="2817" t="s">
        <v>346</v>
      </c>
      <c r="W7" s="384">
        <v>14</v>
      </c>
    </row>
    <row r="8" spans="1:23" ht="48" customHeight="1">
      <c r="D8" s="387"/>
      <c r="E8" s="410" t="s">
        <v>93</v>
      </c>
      <c r="F8" s="754"/>
      <c r="G8" s="402" t="s">
        <v>91</v>
      </c>
      <c r="H8" s="402" t="s">
        <v>92</v>
      </c>
      <c r="I8" s="351" t="s">
        <v>90</v>
      </c>
      <c r="J8" s="351" t="s">
        <v>434</v>
      </c>
      <c r="K8" s="351" t="s">
        <v>435</v>
      </c>
      <c r="L8" s="2817"/>
      <c r="W8" s="384">
        <v>46</v>
      </c>
    </row>
    <row r="9" spans="1:23" ht="12" hidden="1" customHeight="1">
      <c r="D9" s="424"/>
      <c r="E9" s="430"/>
      <c r="F9" s="761"/>
      <c r="G9" s="430"/>
      <c r="H9" s="430"/>
      <c r="I9" s="430"/>
      <c r="J9" s="430"/>
      <c r="K9" s="430"/>
      <c r="L9" s="430"/>
      <c r="M9" s="384"/>
      <c r="W9" s="384">
        <v>0</v>
      </c>
    </row>
    <row r="10" spans="1:23" ht="14.25" hidden="1" customHeight="1">
      <c r="A10" s="442"/>
      <c r="B10" s="442"/>
      <c r="D10" s="443"/>
      <c r="E10" s="449">
        <v>0</v>
      </c>
      <c r="F10" s="752"/>
      <c r="G10" s="445"/>
      <c r="H10" s="445"/>
      <c r="I10" s="445"/>
      <c r="J10" s="445"/>
      <c r="K10" s="445"/>
      <c r="L10" s="2869" t="s">
        <v>436</v>
      </c>
      <c r="M10" s="444"/>
      <c r="N10" s="442"/>
      <c r="O10" s="442"/>
      <c r="P10" s="442"/>
      <c r="Q10" s="442"/>
      <c r="R10" s="442"/>
      <c r="S10" s="442"/>
      <c r="T10" s="442"/>
      <c r="U10" s="442"/>
      <c r="V10" s="442"/>
      <c r="W10" s="384">
        <v>0</v>
      </c>
    </row>
    <row r="11" spans="1:23" ht="15" hidden="1" customHeight="1">
      <c r="A11" s="2743"/>
      <c r="B11" s="441"/>
      <c r="C11" s="441"/>
      <c r="D11" s="796"/>
      <c r="E11" s="450"/>
      <c r="F11" s="450"/>
      <c r="G11" s="450"/>
      <c r="H11" s="450"/>
      <c r="I11" s="451"/>
      <c r="J11" s="452"/>
      <c r="K11" s="650"/>
      <c r="L11" s="2883"/>
      <c r="M11" s="448"/>
      <c r="N11" s="448"/>
      <c r="O11" s="448"/>
      <c r="P11" s="453"/>
      <c r="Q11" s="453"/>
      <c r="R11" s="454"/>
      <c r="S11" s="448"/>
      <c r="T11" s="448"/>
      <c r="U11" s="448"/>
      <c r="V11" s="448"/>
      <c r="W11" s="384">
        <v>0</v>
      </c>
    </row>
    <row r="12" spans="1:23" s="1539" customFormat="1" ht="15" customHeight="1">
      <c r="A12" s="2743"/>
      <c r="B12" s="441"/>
      <c r="C12" s="441"/>
      <c r="D12" s="797"/>
      <c r="E12" s="754">
        <v>1</v>
      </c>
      <c r="F12" s="795">
        <v>23</v>
      </c>
      <c r="G12" s="794"/>
      <c r="H12" s="724"/>
      <c r="I12" s="722"/>
      <c r="J12" s="457" t="s">
        <v>71</v>
      </c>
      <c r="K12" s="1091" t="s">
        <v>30</v>
      </c>
      <c r="L12" s="2883"/>
      <c r="M12" s="448"/>
      <c r="N12" s="448"/>
      <c r="O12" s="448"/>
      <c r="P12" s="453" t="s">
        <v>437</v>
      </c>
      <c r="Q12" s="453" t="s">
        <v>438</v>
      </c>
      <c r="R12" s="454" t="s">
        <v>439</v>
      </c>
      <c r="S12" s="448" t="s">
        <v>440</v>
      </c>
      <c r="T12" s="448"/>
      <c r="U12" s="448"/>
      <c r="V12" s="448"/>
      <c r="W12" s="417">
        <v>14</v>
      </c>
    </row>
    <row r="13" spans="1:23" ht="15.75" customHeight="1">
      <c r="A13" s="2743"/>
      <c r="B13" s="442"/>
      <c r="D13" s="443"/>
      <c r="E13" s="342"/>
      <c r="F13" s="466"/>
      <c r="G13" s="353" t="s">
        <v>107</v>
      </c>
      <c r="H13" s="341"/>
      <c r="I13" s="341"/>
      <c r="J13" s="341"/>
      <c r="K13" s="340"/>
      <c r="L13" s="2870"/>
      <c r="M13" s="446"/>
      <c r="N13" s="442"/>
      <c r="O13" s="442"/>
      <c r="P13" s="442"/>
      <c r="Q13" s="442"/>
      <c r="R13" s="442"/>
      <c r="S13" s="442"/>
      <c r="T13" s="442"/>
      <c r="U13" s="442"/>
      <c r="V13" s="442"/>
      <c r="W13" s="384">
        <v>15</v>
      </c>
    </row>
    <row r="14" spans="1:23" ht="11.25" customHeight="1">
      <c r="A14" s="416"/>
      <c r="B14" s="417"/>
      <c r="C14" s="417"/>
      <c r="D14" s="432"/>
      <c r="E14" s="417"/>
      <c r="F14" s="417"/>
      <c r="G14" s="417"/>
      <c r="H14" s="417"/>
      <c r="I14" s="417"/>
      <c r="J14" s="417"/>
      <c r="K14" s="417"/>
      <c r="L14" s="417"/>
      <c r="M14" s="417"/>
      <c r="N14" s="417"/>
      <c r="O14" s="417"/>
      <c r="P14" s="417"/>
      <c r="Q14" s="417"/>
      <c r="R14" s="417"/>
      <c r="S14" s="417"/>
      <c r="T14" s="417"/>
      <c r="U14" s="417"/>
      <c r="V14" s="417"/>
      <c r="W14" s="384">
        <v>11</v>
      </c>
    </row>
    <row r="15" spans="1:23" ht="15" customHeight="1">
      <c r="D15" s="403"/>
      <c r="E15" s="274"/>
      <c r="F15" s="274"/>
      <c r="G15" s="601" t="str">
        <f>"&lt;1&gt; Указывается информация по муниципальным районам и муниципальным образованиям, на территории которых регулируемая организация осуществляет "&amp;IF(TEMPLATE_SPHERE&lt;&gt;"TKO","регулируемый вид деятельности в сфере "&amp;TEMPLATE_SPHERE_RUS&amp;".","деятельность в области обращения с "&amp;TEMPLATE_SPHERE_RUS_2&amp;".")</f>
        <v>&lt;1&gt; Указывается информация по муниципальным районам и муниципальным образованиям, на территории которых регулируемая организация осуществляет регулируемый вид деятельности в сфере теплоснабжения.</v>
      </c>
      <c r="H15" s="403"/>
      <c r="I15" s="403"/>
      <c r="J15" s="403"/>
      <c r="K15" s="403"/>
      <c r="L15" s="403"/>
      <c r="W15" s="384">
        <v>14</v>
      </c>
    </row>
    <row r="16" spans="1:23" ht="15" customHeight="1">
      <c r="W16" s="384">
        <v>14</v>
      </c>
    </row>
    <row r="17" spans="1:23" ht="15" customHeight="1">
      <c r="W17" s="384">
        <v>14</v>
      </c>
    </row>
    <row r="18" spans="1:23" ht="15" customHeight="1">
      <c r="G18" s="442"/>
      <c r="W18" s="384">
        <v>14</v>
      </c>
    </row>
    <row r="19" spans="1:23" ht="22.5" hidden="1" customHeight="1">
      <c r="A19" s="386" t="s">
        <v>87</v>
      </c>
      <c r="B19" s="384">
        <v>0</v>
      </c>
      <c r="C19" s="693">
        <v>0</v>
      </c>
      <c r="D19" s="388">
        <v>3</v>
      </c>
      <c r="E19" s="384">
        <v>6</v>
      </c>
      <c r="F19" s="693">
        <v>0</v>
      </c>
      <c r="G19" s="384">
        <v>30</v>
      </c>
      <c r="H19" s="384">
        <v>30</v>
      </c>
      <c r="I19" s="384">
        <v>8</v>
      </c>
      <c r="J19" s="384">
        <v>12</v>
      </c>
      <c r="K19" s="384">
        <v>46</v>
      </c>
      <c r="L19" s="384">
        <v>100</v>
      </c>
      <c r="M19" s="389">
        <v>7</v>
      </c>
      <c r="N19" s="384">
        <v>10</v>
      </c>
      <c r="O19" s="384">
        <v>10</v>
      </c>
      <c r="P19" s="384">
        <v>10</v>
      </c>
      <c r="Q19" s="384">
        <v>10</v>
      </c>
      <c r="R19" s="384">
        <v>10</v>
      </c>
      <c r="S19" s="384">
        <v>10</v>
      </c>
      <c r="T19" s="384">
        <v>10</v>
      </c>
      <c r="U19" s="384">
        <v>10</v>
      </c>
      <c r="V19" s="384">
        <v>10</v>
      </c>
      <c r="W19" s="384">
        <v>23</v>
      </c>
    </row>
  </sheetData>
  <sheetProtection formatColumns="0" formatRows="0" insertRows="0" deleteColumns="0" deleteRows="0" sort="0" autoFilter="0"/>
  <mergeCells count="6">
    <mergeCell ref="A11:A13"/>
    <mergeCell ref="E4:I4"/>
    <mergeCell ref="E7:K7"/>
    <mergeCell ref="L7:L8"/>
    <mergeCell ref="L10:L13"/>
    <mergeCell ref="E5:I5"/>
  </mergeCells>
  <dataValidations count="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K12">
      <formula1>900</formula1>
    </dataValidation>
    <dataValidation allowBlank="1" showInputMessage="1" showErrorMessage="1" prompt="Изменение значения по двойному щелчоку левой кнопки мыши" sqref="J12"/>
    <dataValidation type="decimal" allowBlank="1" showErrorMessage="1" errorTitle="Ошибка" error="Допускается ввод только неотрицательных чисел!" sqref="G10:K10">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896">
        <v>1</v>
      </c>
      <c r="F2" s="1290"/>
      <c r="G2" s="1290"/>
      <c r="H2" s="1290"/>
      <c r="I2" s="1290"/>
      <c r="J2" s="1290"/>
      <c r="K2" s="1290"/>
      <c r="L2" s="1291"/>
      <c r="M2" s="1292"/>
      <c r="N2" s="1292"/>
      <c r="O2" s="1292"/>
      <c r="P2" s="298"/>
      <c r="Q2" s="297"/>
      <c r="R2" s="292"/>
      <c r="S2" s="1236" t="e">
        <f>INDEX(PT_DIFFERENTIATION_NUM_NTAR,MATCH(A2,PT_DIFFERENTIATION_NTAR_ID,0))</f>
        <v>#N/A</v>
      </c>
      <c r="T2" s="236" t="s">
        <v>128</v>
      </c>
      <c r="U2" s="238"/>
      <c r="V2" s="2890"/>
      <c r="W2" s="2891"/>
      <c r="X2" s="2891"/>
      <c r="Y2" s="2891"/>
      <c r="Z2" s="2891"/>
      <c r="AA2" s="2891"/>
      <c r="AB2" s="2891"/>
      <c r="AC2" s="2892"/>
      <c r="AD2" s="2890" t="e">
        <f>INDEX(PT_DIFFERENTIATION_NTAR,MATCH(A2,PT_DIFFERENTIATION_NTAR_ID,0))</f>
        <v>#N/A</v>
      </c>
      <c r="AE2" s="2891"/>
      <c r="AF2" s="2891"/>
      <c r="AG2" s="2891"/>
      <c r="AH2" s="2891"/>
      <c r="AI2" s="2891"/>
      <c r="AJ2" s="2891"/>
      <c r="AK2" s="2891"/>
      <c r="AL2" s="2892"/>
      <c r="AM2" s="1185" t="s">
        <v>441</v>
      </c>
      <c r="AO2" s="437"/>
      <c r="AP2" s="437" t="str">
        <f t="shared" ref="AP2:AP15" si="0">IF(T2="","",T2)</f>
        <v>Наименование тарифа</v>
      </c>
      <c r="AQ2" s="437"/>
      <c r="AR2" s="437"/>
      <c r="AS2" s="1082">
        <v>0</v>
      </c>
    </row>
    <row r="3" spans="1:45" ht="21" hidden="1" customHeight="1">
      <c r="A3" s="1290"/>
      <c r="B3" s="1290"/>
      <c r="C3" s="1290"/>
      <c r="D3" s="1290"/>
      <c r="E3" s="2897"/>
      <c r="F3" s="2896">
        <v>1</v>
      </c>
      <c r="G3" s="1290"/>
      <c r="H3" s="1290"/>
      <c r="I3" s="1290"/>
      <c r="J3" s="1290"/>
      <c r="K3" s="1290"/>
      <c r="L3" s="1291"/>
      <c r="M3" s="1292"/>
      <c r="N3" s="1292"/>
      <c r="O3" s="1292"/>
      <c r="P3" s="1231"/>
      <c r="Q3" s="289"/>
      <c r="R3" s="290"/>
      <c r="S3" s="1236" t="e">
        <f>INDEX(PT_DIFFERENTIATION_NUM_TER,MATCH(B3,PT_DIFFERENTIATION_TER_ID,0))</f>
        <v>#N/A</v>
      </c>
      <c r="T3" s="246" t="s">
        <v>442</v>
      </c>
      <c r="U3" s="238"/>
      <c r="V3" s="2890"/>
      <c r="W3" s="2891"/>
      <c r="X3" s="2891"/>
      <c r="Y3" s="2891"/>
      <c r="Z3" s="2891"/>
      <c r="AA3" s="2891"/>
      <c r="AB3" s="2891"/>
      <c r="AC3" s="2892"/>
      <c r="AD3" s="2890" t="e">
        <f>INDEX(PT_DIFFERENTIATION_TER,MATCH(B3,PT_DIFFERENTIATION_TER_ID,0))</f>
        <v>#N/A</v>
      </c>
      <c r="AE3" s="2891"/>
      <c r="AF3" s="2891"/>
      <c r="AG3" s="2891"/>
      <c r="AH3" s="2891"/>
      <c r="AI3" s="2891"/>
      <c r="AJ3" s="2891"/>
      <c r="AK3" s="2891"/>
      <c r="AL3" s="2892"/>
      <c r="AM3" s="1185" t="s">
        <v>443</v>
      </c>
      <c r="AO3" s="437"/>
      <c r="AP3" s="437" t="str">
        <f t="shared" si="0"/>
        <v>Территория действия тарифа</v>
      </c>
      <c r="AQ3" s="437"/>
      <c r="AR3" s="437"/>
      <c r="AS3" s="1082">
        <v>0</v>
      </c>
    </row>
    <row r="4" spans="1:45" ht="23.25" hidden="1" customHeight="1">
      <c r="A4" s="1290"/>
      <c r="B4" s="1290"/>
      <c r="C4" s="1290"/>
      <c r="D4" s="1290"/>
      <c r="E4" s="2897"/>
      <c r="F4" s="2897"/>
      <c r="G4" s="2896">
        <v>1</v>
      </c>
      <c r="H4" s="1290"/>
      <c r="I4" s="1290"/>
      <c r="J4" s="1290"/>
      <c r="K4" s="1290"/>
      <c r="L4" s="1291"/>
      <c r="M4" s="1292"/>
      <c r="N4" s="1292"/>
      <c r="O4" s="1292"/>
      <c r="P4" s="291"/>
      <c r="Q4" s="289"/>
      <c r="R4" s="290"/>
      <c r="S4" s="1236" t="e">
        <f>INDEX(PT_DIFFERENTIATION_NUM_CS,MATCH(C4,PT_DIFFERENTIATION_CS_ID,0))</f>
        <v>#N/A</v>
      </c>
      <c r="T4" s="247" t="s">
        <v>444</v>
      </c>
      <c r="U4" s="238"/>
      <c r="V4" s="2890"/>
      <c r="W4" s="2891"/>
      <c r="X4" s="2891"/>
      <c r="Y4" s="2891"/>
      <c r="Z4" s="2891"/>
      <c r="AA4" s="2891"/>
      <c r="AB4" s="2891"/>
      <c r="AC4" s="2892"/>
      <c r="AD4" s="2890" t="e">
        <f>INDEX(PT_DIFFERENTIATION_CS,MATCH(C4,PT_DIFFERENTIATION_CS_ID,0))</f>
        <v>#N/A</v>
      </c>
      <c r="AE4" s="2891"/>
      <c r="AF4" s="2891"/>
      <c r="AG4" s="2891"/>
      <c r="AH4" s="2891"/>
      <c r="AI4" s="2891"/>
      <c r="AJ4" s="2891"/>
      <c r="AK4" s="2891"/>
      <c r="AL4" s="2892"/>
      <c r="AM4" s="1185" t="s">
        <v>445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97"/>
      <c r="F5" s="2897"/>
      <c r="G5" s="2897"/>
      <c r="H5" s="2896">
        <v>1</v>
      </c>
      <c r="I5" s="1290"/>
      <c r="J5" s="1290"/>
      <c r="K5" s="1290"/>
      <c r="L5" s="1291"/>
      <c r="M5" s="1292"/>
      <c r="N5" s="1292"/>
      <c r="O5" s="1292"/>
      <c r="P5" s="291"/>
      <c r="Q5" s="289"/>
      <c r="R5" s="290"/>
      <c r="S5" s="1236" t="e">
        <f>INDEX(PT_DIFFERENTIATION_NUM_IST_TE,MATCH(D5,PT_DIFFERENTIATION_IST_TE_ID,0))</f>
        <v>#N/A</v>
      </c>
      <c r="T5" s="248" t="s">
        <v>446</v>
      </c>
      <c r="U5" s="238"/>
      <c r="V5" s="2890"/>
      <c r="W5" s="2891"/>
      <c r="X5" s="2891"/>
      <c r="Y5" s="2891"/>
      <c r="Z5" s="2891"/>
      <c r="AA5" s="2891"/>
      <c r="AB5" s="2891"/>
      <c r="AC5" s="2892"/>
      <c r="AD5" s="2890" t="e">
        <f>INDEX(PT_DIFFERENTIATION_IST_TE,MATCH(D5,PT_DIFFERENTIATION_IST_TE_ID,0))</f>
        <v>#N/A</v>
      </c>
      <c r="AE5" s="2891"/>
      <c r="AF5" s="2891"/>
      <c r="AG5" s="2891"/>
      <c r="AH5" s="2891"/>
      <c r="AI5" s="2891"/>
      <c r="AJ5" s="2891"/>
      <c r="AK5" s="2891"/>
      <c r="AL5" s="2892"/>
      <c r="AM5" s="1185" t="s">
        <v>447</v>
      </c>
      <c r="AO5" s="437"/>
      <c r="AP5" s="437" t="str">
        <f t="shared" si="0"/>
        <v xml:space="preserve">Источник тепловой энергии  </v>
      </c>
      <c r="AQ5" s="437"/>
      <c r="AR5" s="437"/>
      <c r="AS5" s="1082">
        <v>0</v>
      </c>
    </row>
    <row r="6" spans="1:45" ht="47.25" hidden="1" customHeight="1">
      <c r="A6" s="1290"/>
      <c r="B6" s="1290"/>
      <c r="C6" s="1290"/>
      <c r="D6" s="1290"/>
      <c r="E6" s="2897"/>
      <c r="F6" s="2897"/>
      <c r="G6" s="2897"/>
      <c r="H6" s="2897"/>
      <c r="I6" s="2898" t="e">
        <f>S5&amp;".1"</f>
        <v>#N/A</v>
      </c>
      <c r="J6" s="1290"/>
      <c r="K6" s="1290"/>
      <c r="L6" s="1291" t="s">
        <v>448</v>
      </c>
      <c r="M6" s="474"/>
      <c r="P6" s="2900">
        <v>1</v>
      </c>
      <c r="Q6" s="1232"/>
      <c r="R6" s="293"/>
      <c r="S6" s="1236" t="e">
        <f>$I6</f>
        <v>#N/A</v>
      </c>
      <c r="T6" s="223" t="s">
        <v>449</v>
      </c>
      <c r="U6" s="238"/>
      <c r="V6" s="2884"/>
      <c r="W6" s="2885"/>
      <c r="X6" s="2885"/>
      <c r="Y6" s="2885"/>
      <c r="Z6" s="2885"/>
      <c r="AA6" s="2885"/>
      <c r="AB6" s="2885"/>
      <c r="AC6" s="2886"/>
      <c r="AD6" s="2884"/>
      <c r="AE6" s="2885"/>
      <c r="AF6" s="2885"/>
      <c r="AG6" s="2885"/>
      <c r="AH6" s="2885"/>
      <c r="AI6" s="2885"/>
      <c r="AJ6" s="2885"/>
      <c r="AK6" s="2885"/>
      <c r="AL6" s="2886"/>
      <c r="AM6" s="1185" t="s">
        <v>450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897"/>
      <c r="F7" s="2897"/>
      <c r="G7" s="2897"/>
      <c r="H7" s="2897"/>
      <c r="I7" s="2899"/>
      <c r="J7" s="2898" t="e">
        <f>I6&amp;".1"</f>
        <v>#N/A</v>
      </c>
      <c r="K7" s="1290"/>
      <c r="L7" s="1291" t="s">
        <v>451</v>
      </c>
      <c r="M7" s="474"/>
      <c r="N7" s="1293"/>
      <c r="P7" s="2900"/>
      <c r="Q7" s="2900">
        <v>1</v>
      </c>
      <c r="R7" s="294"/>
      <c r="S7" s="1236" t="e">
        <f>$J7</f>
        <v>#N/A</v>
      </c>
      <c r="T7" s="224" t="s">
        <v>452</v>
      </c>
      <c r="U7" s="238"/>
      <c r="V7" s="2884"/>
      <c r="W7" s="2885"/>
      <c r="X7" s="2885"/>
      <c r="Y7" s="2885"/>
      <c r="Z7" s="2885"/>
      <c r="AA7" s="2885"/>
      <c r="AB7" s="2885"/>
      <c r="AC7" s="2886"/>
      <c r="AD7" s="2884"/>
      <c r="AE7" s="2885"/>
      <c r="AF7" s="2885"/>
      <c r="AG7" s="2885"/>
      <c r="AH7" s="2885"/>
      <c r="AI7" s="2885"/>
      <c r="AJ7" s="2885"/>
      <c r="AK7" s="2885"/>
      <c r="AL7" s="2886"/>
      <c r="AM7" s="1185" t="s">
        <v>453</v>
      </c>
      <c r="AO7" s="437"/>
      <c r="AP7" s="437" t="str">
        <f t="shared" si="0"/>
        <v>Группа потребителей</v>
      </c>
      <c r="AQ7" s="437"/>
      <c r="AR7" s="437"/>
      <c r="AS7" s="1082">
        <v>0</v>
      </c>
    </row>
    <row r="8" spans="1:45" ht="21" hidden="1" customHeight="1">
      <c r="A8" s="1290"/>
      <c r="B8" s="1290"/>
      <c r="C8" s="1290"/>
      <c r="D8" s="1290"/>
      <c r="E8" s="2897"/>
      <c r="F8" s="2897"/>
      <c r="G8" s="2897"/>
      <c r="H8" s="2897"/>
      <c r="I8" s="2899"/>
      <c r="J8" s="2899"/>
      <c r="K8" s="2898" t="e">
        <f>J7&amp;".1"</f>
        <v>#N/A</v>
      </c>
      <c r="L8" s="1291" t="s">
        <v>454</v>
      </c>
      <c r="M8" s="474"/>
      <c r="N8" s="1293"/>
      <c r="O8" s="1293"/>
      <c r="P8" s="2900"/>
      <c r="Q8" s="2900"/>
      <c r="R8" s="294">
        <v>1</v>
      </c>
      <c r="S8" s="1236" t="e">
        <f>$K8</f>
        <v>#N/A</v>
      </c>
      <c r="T8" s="1274"/>
      <c r="U8" s="238"/>
      <c r="V8" s="688"/>
      <c r="W8" s="263"/>
      <c r="X8" s="688"/>
      <c r="Y8" s="1184"/>
      <c r="Z8" s="2901"/>
      <c r="AA8" s="2768" t="s">
        <v>71</v>
      </c>
      <c r="AB8" s="2901"/>
      <c r="AC8" s="2768" t="s">
        <v>71</v>
      </c>
      <c r="AD8" s="688"/>
      <c r="AE8" s="263"/>
      <c r="AF8" s="688"/>
      <c r="AG8" s="1184"/>
      <c r="AH8" s="2901"/>
      <c r="AI8" s="2768" t="s">
        <v>71</v>
      </c>
      <c r="AJ8" s="2901"/>
      <c r="AK8" s="2768" t="s">
        <v>71</v>
      </c>
      <c r="AL8" s="263"/>
      <c r="AM8" s="2919" t="s">
        <v>455</v>
      </c>
      <c r="AN8" s="448" t="e">
        <f ca="1">STRCHECKDATE(V9:AL9)</f>
        <v>#NAME?</v>
      </c>
      <c r="AO8" s="437"/>
      <c r="AP8" s="437" t="str">
        <f t="shared" si="0"/>
        <v/>
      </c>
      <c r="AQ8" s="437"/>
      <c r="AR8" s="437"/>
      <c r="AS8" s="1082">
        <v>0</v>
      </c>
    </row>
    <row r="9" spans="1:45" ht="0.75" hidden="1" customHeight="1">
      <c r="A9" s="1290"/>
      <c r="B9" s="1290"/>
      <c r="C9" s="1290"/>
      <c r="D9" s="1290"/>
      <c r="E9" s="2897"/>
      <c r="F9" s="2897"/>
      <c r="G9" s="2897"/>
      <c r="H9" s="2897"/>
      <c r="I9" s="2899"/>
      <c r="J9" s="2899"/>
      <c r="K9" s="2898"/>
      <c r="L9" s="1291"/>
      <c r="M9" s="474"/>
      <c r="N9" s="1293"/>
      <c r="O9" s="1293"/>
      <c r="P9" s="2900"/>
      <c r="Q9" s="2900"/>
      <c r="R9" s="294"/>
      <c r="S9" s="1233"/>
      <c r="T9" s="238"/>
      <c r="U9" s="238"/>
      <c r="V9" s="263"/>
      <c r="W9" s="263"/>
      <c r="X9" s="263"/>
      <c r="Y9" s="266" t="str">
        <f>Z8&amp;"-"&amp;AB8</f>
        <v>-</v>
      </c>
      <c r="Z9" s="2902"/>
      <c r="AA9" s="2768"/>
      <c r="AB9" s="2902"/>
      <c r="AC9" s="2768"/>
      <c r="AD9" s="263"/>
      <c r="AE9" s="263"/>
      <c r="AF9" s="263"/>
      <c r="AG9" s="266" t="str">
        <f>AH8&amp;"-"&amp;AJ8</f>
        <v>-</v>
      </c>
      <c r="AH9" s="2902"/>
      <c r="AI9" s="2768"/>
      <c r="AJ9" s="2902"/>
      <c r="AK9" s="2768"/>
      <c r="AL9" s="263"/>
      <c r="AM9" s="2920"/>
      <c r="AO9" s="437"/>
      <c r="AP9" s="437" t="str">
        <f t="shared" si="0"/>
        <v/>
      </c>
      <c r="AQ9" s="437"/>
      <c r="AR9" s="437"/>
      <c r="AS9" s="1082">
        <v>0</v>
      </c>
    </row>
    <row r="10" spans="1:45" ht="15" hidden="1" customHeight="1">
      <c r="A10" s="1290"/>
      <c r="B10" s="1290"/>
      <c r="C10" s="1290"/>
      <c r="D10" s="1290"/>
      <c r="E10" s="2897"/>
      <c r="F10" s="2897"/>
      <c r="G10" s="2897"/>
      <c r="H10" s="2897"/>
      <c r="I10" s="2899"/>
      <c r="J10" s="2898"/>
      <c r="K10" s="1290"/>
      <c r="L10" s="1291"/>
      <c r="M10" s="474"/>
      <c r="N10" s="1293"/>
      <c r="P10" s="2900"/>
      <c r="Q10" s="2900"/>
      <c r="R10" s="293"/>
      <c r="S10" s="1205"/>
      <c r="T10" s="226" t="s">
        <v>456</v>
      </c>
      <c r="U10" s="304"/>
      <c r="V10" s="304"/>
      <c r="W10" s="304"/>
      <c r="X10" s="304"/>
      <c r="Y10" s="304"/>
      <c r="Z10" s="304"/>
      <c r="AA10" s="304"/>
      <c r="AB10" s="304"/>
      <c r="AC10" s="304"/>
      <c r="AD10" s="304"/>
      <c r="AE10" s="304"/>
      <c r="AF10" s="304"/>
      <c r="AG10" s="304"/>
      <c r="AH10" s="304"/>
      <c r="AI10" s="304"/>
      <c r="AJ10" s="304"/>
      <c r="AK10" s="304"/>
      <c r="AL10" s="262"/>
      <c r="AM10" s="292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97"/>
      <c r="F11" s="2897"/>
      <c r="G11" s="2897"/>
      <c r="H11" s="2897"/>
      <c r="I11" s="2898"/>
      <c r="J11" s="1290"/>
      <c r="K11" s="1290"/>
      <c r="L11" s="1291"/>
      <c r="M11" s="474"/>
      <c r="P11" s="2900"/>
      <c r="Q11" s="1232"/>
      <c r="R11" s="293"/>
      <c r="S11" s="1205"/>
      <c r="T11" s="225" t="s">
        <v>457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897"/>
      <c r="F12" s="2897"/>
      <c r="G12" s="2897"/>
      <c r="H12" s="2896"/>
      <c r="I12" s="1290"/>
      <c r="J12" s="1290"/>
      <c r="K12" s="1290"/>
      <c r="L12" s="1291"/>
      <c r="M12" s="1292"/>
      <c r="N12" s="1292"/>
      <c r="O12" s="474"/>
      <c r="P12" s="297"/>
      <c r="Q12" s="312"/>
      <c r="R12" s="292"/>
      <c r="S12" s="1205"/>
      <c r="T12" s="302" t="s">
        <v>458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897"/>
      <c r="F13" s="2897"/>
      <c r="G13" s="2896"/>
      <c r="H13" s="1241"/>
      <c r="I13" s="1241"/>
      <c r="J13" s="1241"/>
      <c r="K13" s="1241"/>
      <c r="L13" s="1266"/>
      <c r="M13" s="1242"/>
      <c r="N13" s="1242"/>
      <c r="P13" s="1243"/>
      <c r="Q13" s="1244"/>
      <c r="R13" s="1243"/>
      <c r="S13" s="1245"/>
      <c r="T13" s="1246" t="s">
        <v>174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97"/>
      <c r="F14" s="2896"/>
      <c r="G14" s="1241"/>
      <c r="H14" s="1241"/>
      <c r="I14" s="1241"/>
      <c r="J14" s="1241"/>
      <c r="K14" s="1241"/>
      <c r="L14" s="1266"/>
      <c r="M14" s="1248"/>
      <c r="N14" s="1248"/>
      <c r="P14" s="1243"/>
      <c r="Q14" s="1244"/>
      <c r="R14" s="1243"/>
      <c r="S14" s="1249"/>
      <c r="T14" s="1250" t="s">
        <v>176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96"/>
      <c r="F15" s="1241"/>
      <c r="G15" s="1241"/>
      <c r="H15" s="1241"/>
      <c r="I15" s="1241"/>
      <c r="J15" s="1241"/>
      <c r="K15" s="1241"/>
      <c r="L15" s="1266"/>
      <c r="M15" s="1248"/>
      <c r="N15" s="1248"/>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P17" s="1238"/>
      <c r="AD17" s="1287"/>
      <c r="AE17" s="1287"/>
      <c r="AF17" s="1287"/>
      <c r="AG17" s="1288"/>
      <c r="AH17" s="2894"/>
      <c r="AI17" s="2893" t="s">
        <v>71</v>
      </c>
      <c r="AJ17" s="2894"/>
      <c r="AK17" s="2893" t="s">
        <v>71</v>
      </c>
      <c r="AS17" s="1082">
        <v>0</v>
      </c>
    </row>
    <row r="18" spans="1:45" ht="14.25" hidden="1" customHeight="1">
      <c r="P18" s="1238"/>
      <c r="AD18" s="1287"/>
      <c r="AE18" s="1287"/>
      <c r="AF18" s="1287"/>
      <c r="AG18" s="266" t="str">
        <f>AH17&amp;"-"&amp;AJ17</f>
        <v>-</v>
      </c>
      <c r="AH18" s="2893"/>
      <c r="AI18" s="2893"/>
      <c r="AJ18" s="2893"/>
      <c r="AK18" s="2893"/>
      <c r="AS18" s="1082">
        <v>0</v>
      </c>
    </row>
    <row r="19" spans="1:45" ht="14.25" hidden="1" customHeight="1">
      <c r="P19" s="1238"/>
      <c r="AK19" s="265"/>
      <c r="AS19" s="1082">
        <v>0</v>
      </c>
    </row>
    <row r="20" spans="1:45" s="1293" customFormat="1" ht="22.5" hidden="1" customHeight="1">
      <c r="L20" s="1256"/>
      <c r="M20" s="1289"/>
      <c r="N20" s="1289"/>
      <c r="O20" s="1294" t="s">
        <v>459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460</v>
      </c>
      <c r="P22" s="1289"/>
      <c r="Q22" s="1298"/>
      <c r="R22" s="1298"/>
      <c r="S22" s="666"/>
      <c r="T22" s="1087" t="s">
        <v>461</v>
      </c>
      <c r="AA22" s="124" t="s">
        <v>462</v>
      </c>
      <c r="AC22" s="124" t="s">
        <v>463</v>
      </c>
      <c r="AD22" s="1087" t="s">
        <v>461</v>
      </c>
      <c r="AI22" s="124" t="s">
        <v>464</v>
      </c>
      <c r="AK22" s="124" t="s">
        <v>463</v>
      </c>
      <c r="AN22" s="448"/>
      <c r="AO22" s="448"/>
      <c r="AP22" s="448"/>
      <c r="AQ22" s="448"/>
      <c r="AR22" s="448"/>
      <c r="AS22" s="1087">
        <v>0</v>
      </c>
    </row>
    <row r="23" spans="1:45" ht="14.25" hidden="1" customHeight="1">
      <c r="O23" s="1291"/>
      <c r="P23" s="1238"/>
      <c r="AS23" s="1082">
        <v>0</v>
      </c>
    </row>
    <row r="24" spans="1:45" ht="14.25" hidden="1" customHeight="1">
      <c r="O24" s="1291"/>
      <c r="P24" s="1238"/>
      <c r="AS24" s="1082">
        <v>0</v>
      </c>
    </row>
    <row r="25" spans="1:45" ht="1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5" customHeight="1">
      <c r="Q26" s="313"/>
      <c r="R26" s="313"/>
      <c r="S26" s="28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77"/>
      <c r="U26" s="2877"/>
      <c r="V26" s="2877"/>
      <c r="W26" s="2877"/>
      <c r="X26" s="2877"/>
      <c r="Y26" s="2877"/>
      <c r="Z26" s="2877"/>
      <c r="AA26" s="2877"/>
      <c r="AB26" s="2877"/>
      <c r="AC26" s="2877"/>
      <c r="AD26" s="2877"/>
      <c r="AE26" s="2877"/>
      <c r="AF26" s="2877"/>
      <c r="AG26" s="2877"/>
      <c r="AH26" s="2877"/>
      <c r="AI26" s="2877"/>
      <c r="AJ26" s="2877"/>
      <c r="AK26" s="1170"/>
      <c r="AS26" s="1082">
        <v>14</v>
      </c>
    </row>
    <row r="27" spans="1:45" ht="15" customHeight="1">
      <c r="Q27" s="313"/>
      <c r="R27" s="313"/>
      <c r="S27" s="2849" t="str">
        <f>IF(org=0,"Не определено",org)</f>
        <v>ТМУП "ТТС"</v>
      </c>
      <c r="T27" s="2849"/>
      <c r="U27" s="2849"/>
      <c r="V27" s="2849"/>
      <c r="W27" s="2849"/>
      <c r="X27" s="2849"/>
      <c r="Y27" s="2849"/>
      <c r="Z27" s="2849"/>
      <c r="AA27" s="2849"/>
      <c r="AB27" s="2849"/>
      <c r="AC27" s="2849"/>
      <c r="AD27" s="2849"/>
      <c r="AE27" s="2849"/>
      <c r="AF27" s="2849"/>
      <c r="AG27" s="2849"/>
      <c r="AH27" s="2849"/>
      <c r="AI27" s="2849"/>
      <c r="AJ27" s="284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887" t="s">
        <v>46</v>
      </c>
      <c r="T29" s="2887"/>
      <c r="U29" s="1299"/>
      <c r="V29" s="2889" t="str">
        <f>IF(TITLE_NAME_OR_PR_CHANGE="",IF(TITLE_NAME_OR_PR="","",TITLE_NAME_OR_PR),TITLE_NAME_OR_PR_CHANGE)</f>
        <v/>
      </c>
      <c r="W29" s="2889"/>
      <c r="X29" s="2889"/>
      <c r="Y29" s="2889"/>
      <c r="Z29" s="2889"/>
      <c r="AA29" s="2889"/>
      <c r="AB29" s="2889"/>
      <c r="AC29" s="264"/>
      <c r="AD29" s="2889" t="str">
        <f>IF(TITLE_NAME_OR_PR_CHANGE="",IF(TITLE_NAME_OR_PR="","",TITLE_NAME_OR_PR),TITLE_NAME_OR_PR_CHANGE)</f>
        <v/>
      </c>
      <c r="AE29" s="2889"/>
      <c r="AF29" s="2889"/>
      <c r="AG29" s="2889"/>
      <c r="AH29" s="2889"/>
      <c r="AI29" s="2889"/>
      <c r="AJ29" s="288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887" t="s">
        <v>465</v>
      </c>
      <c r="T30" s="2887"/>
      <c r="U30" s="1299"/>
      <c r="V30" s="2888" t="str">
        <f>IF(TITLE_DATE_PR_CHANGE="",IF(TITLE_DATE_PR="","",TITLE_DATE_PR),TITLE_DATE_PR_CHANGE)</f>
        <v>14.11.2024</v>
      </c>
      <c r="W30" s="2888"/>
      <c r="X30" s="2888"/>
      <c r="Y30" s="2888"/>
      <c r="Z30" s="2888"/>
      <c r="AA30" s="2888"/>
      <c r="AB30" s="2888"/>
      <c r="AC30" s="264"/>
      <c r="AD30" s="2888" t="str">
        <f>IF(TITLE_DATE_PR_CHANGE="",IF(TITLE_DATE_PR="","",TITLE_DATE_PR),TITLE_DATE_PR_CHANGE)</f>
        <v>14.11.2024</v>
      </c>
      <c r="AE30" s="2888"/>
      <c r="AF30" s="2888"/>
      <c r="AG30" s="2888"/>
      <c r="AH30" s="2888"/>
      <c r="AI30" s="2888"/>
      <c r="AJ30" s="288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887" t="s">
        <v>466</v>
      </c>
      <c r="T31" s="2887"/>
      <c r="U31" s="1299"/>
      <c r="V31" s="2889" t="str">
        <f>IF(TITLE_NUMBER_PR_CHANGE="",IF(TITLE_NUMBER_PR="","",TITLE_NUMBER_PR),TITLE_NUMBER_PR_CHANGE)</f>
        <v>947 от 12.11.2024</v>
      </c>
      <c r="W31" s="2889"/>
      <c r="X31" s="2889"/>
      <c r="Y31" s="2889"/>
      <c r="Z31" s="2889"/>
      <c r="AA31" s="2889"/>
      <c r="AB31" s="2889"/>
      <c r="AC31" s="264"/>
      <c r="AD31" s="2889" t="str">
        <f>IF(TITLE_NUMBER_PR_CHANGE="",IF(TITLE_NUMBER_PR="","",TITLE_NUMBER_PR),TITLE_NUMBER_PR_CHANGE)</f>
        <v>947 от 12.11.2024</v>
      </c>
      <c r="AE31" s="2889"/>
      <c r="AF31" s="2889"/>
      <c r="AG31" s="2889"/>
      <c r="AH31" s="2889"/>
      <c r="AI31" s="2889"/>
      <c r="AJ31" s="288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887" t="s">
        <v>47</v>
      </c>
      <c r="T32" s="2887"/>
      <c r="U32" s="1299"/>
      <c r="V32" s="2889" t="str">
        <f>IF(TITLE_IST_PUB_CHANGE="",IF(TITLE_IST_PUB="","",TITLE_IST_PUB),TITLE_IST_PUB_CHANGE)</f>
        <v/>
      </c>
      <c r="W32" s="2889"/>
      <c r="X32" s="2889"/>
      <c r="Y32" s="2889"/>
      <c r="Z32" s="2889"/>
      <c r="AA32" s="2889"/>
      <c r="AB32" s="2889"/>
      <c r="AC32" s="264"/>
      <c r="AD32" s="2889" t="str">
        <f>IF(TITLE_IST_PUB_CHANGE="",IF(TITLE_IST_PUB="","",TITLE_IST_PUB),TITLE_IST_PUB_CHANGE)</f>
        <v/>
      </c>
      <c r="AE32" s="2889"/>
      <c r="AF32" s="2889"/>
      <c r="AG32" s="2889"/>
      <c r="AH32" s="2889"/>
      <c r="AI32" s="2889"/>
      <c r="AJ32" s="2889"/>
      <c r="AK32" s="264"/>
      <c r="AL32" s="264"/>
      <c r="AM32" s="218"/>
      <c r="AN32" s="305"/>
      <c r="AO32" s="305"/>
      <c r="AP32" s="305"/>
      <c r="AQ32" s="305"/>
      <c r="AR32" s="305"/>
      <c r="AS32" s="355">
        <v>0</v>
      </c>
    </row>
    <row r="33" spans="1:45" ht="14.25" customHeight="1">
      <c r="P33" s="1255"/>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887" t="s">
        <v>467</v>
      </c>
      <c r="T34" s="2887"/>
      <c r="U34" s="1299"/>
      <c r="V34" s="2888" t="str">
        <f>IF(TITLE_DATE_PR_CHANGE="",IF(TITLE_DATE_PR="","",TITLE_DATE_PR),TITLE_DATE_PR_CHANGE)</f>
        <v>14.11.2024</v>
      </c>
      <c r="W34" s="2888"/>
      <c r="X34" s="2888"/>
      <c r="Y34" s="2888"/>
      <c r="Z34" s="2888"/>
      <c r="AA34" s="2888"/>
      <c r="AB34" s="2888"/>
      <c r="AC34" s="264"/>
      <c r="AD34" s="2888" t="str">
        <f>IF(TITLE_DATE_PR_CHANGE="",IF(TITLE_DATE_PR="","",TITLE_DATE_PR),TITLE_DATE_PR_CHANGE)</f>
        <v>14.11.2024</v>
      </c>
      <c r="AE34" s="2888"/>
      <c r="AF34" s="2888"/>
      <c r="AG34" s="2888"/>
      <c r="AH34" s="2888"/>
      <c r="AI34" s="2888"/>
      <c r="AJ34" s="2888"/>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887" t="s">
        <v>468</v>
      </c>
      <c r="T35" s="2887"/>
      <c r="U35" s="1299"/>
      <c r="V35" s="2889" t="str">
        <f>IF(TITLE_NUMBER_PR_CHANGE="",IF(TITLE_NUMBER_PR="","",TITLE_NUMBER_PR),TITLE_NUMBER_PR_CHANGE)</f>
        <v>947 от 12.11.2024</v>
      </c>
      <c r="W35" s="2889"/>
      <c r="X35" s="2889"/>
      <c r="Y35" s="2889"/>
      <c r="Z35" s="2889"/>
      <c r="AA35" s="2889"/>
      <c r="AB35" s="2889"/>
      <c r="AC35" s="264"/>
      <c r="AD35" s="2889" t="str">
        <f>IF(TITLE_NUMBER_PR_CHANGE="",IF(TITLE_NUMBER_PR="","",TITLE_NUMBER_PR),TITLE_NUMBER_PR_CHANGE)</f>
        <v>947 от 12.11.2024</v>
      </c>
      <c r="AE35" s="2889"/>
      <c r="AF35" s="2889"/>
      <c r="AG35" s="2889"/>
      <c r="AH35" s="2889"/>
      <c r="AI35" s="2889"/>
      <c r="AJ35" s="288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146"/>
      <c r="V36" s="264"/>
      <c r="W36" s="264"/>
      <c r="X36" s="264"/>
      <c r="Y36" s="264"/>
      <c r="Z36" s="264"/>
      <c r="AA36" s="264"/>
      <c r="AB36" s="264"/>
      <c r="AC36" s="216" t="s">
        <v>469</v>
      </c>
      <c r="AD36" s="264"/>
      <c r="AE36" s="264"/>
      <c r="AF36" s="264"/>
      <c r="AG36" s="264"/>
      <c r="AH36" s="264"/>
      <c r="AI36" s="264"/>
      <c r="AJ36" s="264"/>
      <c r="AK36" s="216" t="s">
        <v>469</v>
      </c>
      <c r="AN36" s="305"/>
      <c r="AO36" s="305"/>
      <c r="AP36" s="305"/>
      <c r="AQ36" s="305"/>
      <c r="AR36" s="305"/>
      <c r="AS36" s="355">
        <v>0</v>
      </c>
    </row>
    <row r="37" spans="1:45" ht="15" customHeight="1">
      <c r="Q37" s="313"/>
      <c r="R37" s="313"/>
      <c r="S37" s="1202"/>
      <c r="T37" s="300"/>
      <c r="U37" s="1171"/>
      <c r="V37" s="2908"/>
      <c r="W37" s="2908"/>
      <c r="X37" s="2908"/>
      <c r="Y37" s="2908"/>
      <c r="Z37" s="2908"/>
      <c r="AA37" s="2908"/>
      <c r="AB37" s="2908"/>
      <c r="AC37" s="2908"/>
      <c r="AD37" s="2908"/>
      <c r="AE37" s="2908"/>
      <c r="AF37" s="2908"/>
      <c r="AG37" s="2908"/>
      <c r="AH37" s="2908"/>
      <c r="AI37" s="2908"/>
      <c r="AJ37" s="2908"/>
      <c r="AK37" s="2908"/>
      <c r="AS37" s="1082">
        <v>14</v>
      </c>
    </row>
    <row r="38" spans="1:45" ht="15" customHeight="1">
      <c r="Q38" s="313"/>
      <c r="R38" s="313"/>
      <c r="S38" s="2758" t="s">
        <v>345</v>
      </c>
      <c r="T38" s="2758"/>
      <c r="U38" s="2758"/>
      <c r="V38" s="2758"/>
      <c r="W38" s="2758"/>
      <c r="X38" s="2758"/>
      <c r="Y38" s="2758"/>
      <c r="Z38" s="2758"/>
      <c r="AA38" s="2758"/>
      <c r="AB38" s="2758"/>
      <c r="AC38" s="2758"/>
      <c r="AD38" s="2758"/>
      <c r="AE38" s="2758"/>
      <c r="AF38" s="2758"/>
      <c r="AG38" s="2758"/>
      <c r="AH38" s="2758"/>
      <c r="AI38" s="2758"/>
      <c r="AJ38" s="2758"/>
      <c r="AK38" s="2758"/>
      <c r="AL38" s="2758"/>
      <c r="AM38" s="2758" t="s">
        <v>346</v>
      </c>
      <c r="AS38" s="1082">
        <v>14</v>
      </c>
    </row>
    <row r="39" spans="1:45" ht="15" customHeight="1">
      <c r="Q39" s="313"/>
      <c r="R39" s="313"/>
      <c r="S39" s="2909" t="s">
        <v>93</v>
      </c>
      <c r="T39" s="2857" t="s">
        <v>470</v>
      </c>
      <c r="U39" s="239"/>
      <c r="V39" s="2910" t="s">
        <v>471</v>
      </c>
      <c r="W39" s="2911"/>
      <c r="X39" s="2911"/>
      <c r="Y39" s="2911"/>
      <c r="Z39" s="2911"/>
      <c r="AA39" s="2911"/>
      <c r="AB39" s="2912"/>
      <c r="AC39" s="2913" t="s">
        <v>472</v>
      </c>
      <c r="AD39" s="2910" t="s">
        <v>471</v>
      </c>
      <c r="AE39" s="2911"/>
      <c r="AF39" s="2911"/>
      <c r="AG39" s="2911"/>
      <c r="AH39" s="2911"/>
      <c r="AI39" s="2911"/>
      <c r="AJ39" s="2912"/>
      <c r="AK39" s="2913" t="s">
        <v>473</v>
      </c>
      <c r="AL39" s="2916" t="s">
        <v>474</v>
      </c>
      <c r="AM39" s="2758"/>
      <c r="AS39" s="1082">
        <v>14</v>
      </c>
    </row>
    <row r="40" spans="1:45" ht="36" customHeight="1">
      <c r="Q40" s="313"/>
      <c r="R40" s="313"/>
      <c r="S40" s="2909"/>
      <c r="T40" s="2857"/>
      <c r="U40" s="961"/>
      <c r="V40" s="2829" t="s">
        <v>475</v>
      </c>
      <c r="W40" s="2905" t="s">
        <v>476</v>
      </c>
      <c r="X40" s="2740" t="s">
        <v>477</v>
      </c>
      <c r="Y40" s="2739"/>
      <c r="Z40" s="2740" t="s">
        <v>478</v>
      </c>
      <c r="AA40" s="2745"/>
      <c r="AB40" s="2739"/>
      <c r="AC40" s="2914"/>
      <c r="AD40" s="2829" t="s">
        <v>475</v>
      </c>
      <c r="AE40" s="2905" t="s">
        <v>476</v>
      </c>
      <c r="AF40" s="2740" t="s">
        <v>477</v>
      </c>
      <c r="AG40" s="2739"/>
      <c r="AH40" s="2740" t="s">
        <v>478</v>
      </c>
      <c r="AI40" s="2745"/>
      <c r="AJ40" s="2739"/>
      <c r="AK40" s="2914"/>
      <c r="AL40" s="2917"/>
      <c r="AM40" s="2758"/>
      <c r="AS40" s="1082">
        <v>34</v>
      </c>
    </row>
    <row r="41" spans="1:45" ht="36" customHeight="1">
      <c r="A41" s="1297"/>
      <c r="B41" s="1297" t="s">
        <v>140</v>
      </c>
      <c r="C41" s="1297" t="s">
        <v>141</v>
      </c>
      <c r="D41" s="1297" t="s">
        <v>142</v>
      </c>
      <c r="E41" s="1291" t="s">
        <v>479</v>
      </c>
      <c r="F41" s="1291" t="s">
        <v>480</v>
      </c>
      <c r="G41" s="1291" t="s">
        <v>481</v>
      </c>
      <c r="H41" s="1291" t="s">
        <v>482</v>
      </c>
      <c r="I41" s="1291" t="s">
        <v>483</v>
      </c>
      <c r="J41" s="1291" t="s">
        <v>484</v>
      </c>
      <c r="K41" s="1291" t="s">
        <v>485</v>
      </c>
      <c r="L41" s="1291" t="s">
        <v>460</v>
      </c>
      <c r="Q41" s="313"/>
      <c r="R41" s="313"/>
      <c r="S41" s="2909"/>
      <c r="T41" s="2857"/>
      <c r="U41" s="240"/>
      <c r="V41" s="2882"/>
      <c r="W41" s="2906"/>
      <c r="X41" s="1149" t="s">
        <v>486</v>
      </c>
      <c r="Y41" s="1149" t="s">
        <v>487</v>
      </c>
      <c r="Z41" s="1148" t="s">
        <v>488</v>
      </c>
      <c r="AA41" s="2862" t="s">
        <v>489</v>
      </c>
      <c r="AB41" s="2876"/>
      <c r="AC41" s="2915"/>
      <c r="AD41" s="2882"/>
      <c r="AE41" s="2906"/>
      <c r="AF41" s="1149" t="s">
        <v>486</v>
      </c>
      <c r="AG41" s="1149" t="s">
        <v>487</v>
      </c>
      <c r="AH41" s="1240" t="s">
        <v>488</v>
      </c>
      <c r="AI41" s="2862" t="s">
        <v>489</v>
      </c>
      <c r="AJ41" s="2876"/>
      <c r="AK41" s="2915"/>
      <c r="AL41" s="2918"/>
      <c r="AM41" s="275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114</v>
      </c>
      <c r="T42" s="1182" t="s">
        <v>115</v>
      </c>
      <c r="U42" s="1172" t="str">
        <f ca="1">OFFSET(U42,0,-1)</f>
        <v>2</v>
      </c>
      <c r="V42" s="1183">
        <f ca="1">OFFSET(V42,0,-1)+1</f>
        <v>3</v>
      </c>
      <c r="W42" s="1183"/>
      <c r="X42" s="1183">
        <f ca="1">OFFSET(X42,0,-1)+1</f>
        <v>1</v>
      </c>
      <c r="Y42" s="1183">
        <f ca="1">OFFSET(Y42,0,-1)+1</f>
        <v>2</v>
      </c>
      <c r="Z42" s="1183">
        <f ca="1">OFFSET(Z42,0,-1)+1</f>
        <v>3</v>
      </c>
      <c r="AA42" s="2907">
        <f ca="1">OFFSET(AA42,0,-1)+1</f>
        <v>4</v>
      </c>
      <c r="AB42" s="2907"/>
      <c r="AC42" s="1183">
        <f ca="1">OFFSET(AC42,0,-2)+1</f>
        <v>5</v>
      </c>
      <c r="AD42" s="1239">
        <f ca="1">OFFSET(AD42,0,-1)+1</f>
        <v>6</v>
      </c>
      <c r="AE42" s="1239"/>
      <c r="AF42" s="1239">
        <f ca="1">OFFSET(AF42,0,-1)+1</f>
        <v>1</v>
      </c>
      <c r="AG42" s="1239">
        <f ca="1">OFFSET(AG42,0,-1)+1</f>
        <v>2</v>
      </c>
      <c r="AH42" s="1239">
        <f ca="1">OFFSET(AH42,0,-1)+1</f>
        <v>3</v>
      </c>
      <c r="AI42" s="2907">
        <f ca="1">OFFSET(AI42,0,-1)+1</f>
        <v>4</v>
      </c>
      <c r="AJ42" s="2907"/>
      <c r="AK42" s="1239">
        <f ca="1">OFFSET(AK42,0,-2)+1</f>
        <v>5</v>
      </c>
      <c r="AL42" s="1172">
        <f ca="1">OFFSET(AL42,0,-1)</f>
        <v>5</v>
      </c>
      <c r="AM42" s="1183">
        <f ca="1">OFFSET(AM42,0,-1)+1</f>
        <v>6</v>
      </c>
      <c r="AN42" s="448"/>
      <c r="AO42" s="448"/>
      <c r="AP42" s="448"/>
      <c r="AQ42" s="448"/>
      <c r="AR42" s="448"/>
      <c r="AS42" s="433">
        <v>0</v>
      </c>
    </row>
    <row r="43" spans="1:45" ht="24" customHeight="1">
      <c r="A43" s="1290" t="s">
        <v>161</v>
      </c>
      <c r="B43" s="1290"/>
      <c r="C43" s="1290"/>
      <c r="D43" s="1290"/>
      <c r="E43" s="2896">
        <v>1</v>
      </c>
      <c r="F43" s="1290"/>
      <c r="G43" s="1290"/>
      <c r="H43" s="1290"/>
      <c r="I43" s="1290"/>
      <c r="J43" s="1290"/>
      <c r="K43" s="1290"/>
      <c r="L43" s="1291"/>
      <c r="M43" s="1292"/>
      <c r="N43" s="1292"/>
      <c r="O43" s="1292"/>
      <c r="P43" s="298"/>
      <c r="Q43" s="297"/>
      <c r="R43" s="292"/>
      <c r="S43" s="1151">
        <f>INDEX(PT_DIFFERENTIATION_NUM_NTAR,MATCH(A43,PT_DIFFERENTIATION_NTAR_ID,0))</f>
        <v>0</v>
      </c>
      <c r="T43" s="236" t="s">
        <v>128</v>
      </c>
      <c r="U43" s="238"/>
      <c r="V43" s="2890"/>
      <c r="W43" s="2891"/>
      <c r="X43" s="2891"/>
      <c r="Y43" s="2891"/>
      <c r="Z43" s="2891"/>
      <c r="AA43" s="2891"/>
      <c r="AB43" s="2891"/>
      <c r="AC43" s="2892"/>
      <c r="AD43" s="2890" t="str">
        <f>INDEX(PT_DIFFERENTIATION_NTAR,MATCH(A43,PT_DIFFERENTIATION_NTAR_ID,0))</f>
        <v/>
      </c>
      <c r="AE43" s="2891"/>
      <c r="AF43" s="2891"/>
      <c r="AG43" s="2891"/>
      <c r="AH43" s="2891"/>
      <c r="AI43" s="2891"/>
      <c r="AJ43" s="2891"/>
      <c r="AK43" s="2891"/>
      <c r="AL43" s="289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23</v>
      </c>
    </row>
    <row r="44" spans="1:45" ht="24" customHeight="1">
      <c r="A44" s="1290" t="s">
        <v>161</v>
      </c>
      <c r="B44" s="1290" t="s">
        <v>162</v>
      </c>
      <c r="C44" s="1290"/>
      <c r="D44" s="1290"/>
      <c r="E44" s="2897"/>
      <c r="F44" s="2896">
        <v>1</v>
      </c>
      <c r="G44" s="1290"/>
      <c r="H44" s="1290"/>
      <c r="I44" s="1290"/>
      <c r="J44" s="1290"/>
      <c r="K44" s="1290"/>
      <c r="L44" s="1291"/>
      <c r="M44" s="1292"/>
      <c r="N44" s="1292"/>
      <c r="O44" s="1292"/>
      <c r="P44" s="459"/>
      <c r="Q44" s="289"/>
      <c r="R44" s="290"/>
      <c r="S44" s="1151" t="str">
        <f>INDEX(PT_DIFFERENTIATION_NUM_TER,MATCH(B44,PT_DIFFERENTIATION_TER_ID,0))</f>
        <v>.</v>
      </c>
      <c r="T44" s="246" t="s">
        <v>442</v>
      </c>
      <c r="U44" s="238"/>
      <c r="V44" s="2890"/>
      <c r="W44" s="2891"/>
      <c r="X44" s="2891"/>
      <c r="Y44" s="2891"/>
      <c r="Z44" s="2891"/>
      <c r="AA44" s="2891"/>
      <c r="AB44" s="2891"/>
      <c r="AC44" s="2892"/>
      <c r="AD44" s="2890" t="str">
        <f>INDEX(PT_DIFFERENTIATION_TER,MATCH(B44,PT_DIFFERENTIATION_TER_ID,0))</f>
        <v/>
      </c>
      <c r="AE44" s="2891"/>
      <c r="AF44" s="2891"/>
      <c r="AG44" s="2891"/>
      <c r="AH44" s="2891"/>
      <c r="AI44" s="2891"/>
      <c r="AJ44" s="2891"/>
      <c r="AK44" s="2891"/>
      <c r="AL44" s="2892"/>
      <c r="AM44" s="1185" t="s">
        <v>443</v>
      </c>
      <c r="AO44" s="437"/>
      <c r="AP44" s="437" t="str">
        <f t="shared" si="1"/>
        <v>Территория действия тарифа</v>
      </c>
      <c r="AQ44" s="437"/>
      <c r="AR44" s="437"/>
      <c r="AS44" s="1082">
        <v>23</v>
      </c>
    </row>
    <row r="45" spans="1:45" ht="24" customHeight="1">
      <c r="A45" s="1290" t="s">
        <v>161</v>
      </c>
      <c r="B45" s="1290" t="s">
        <v>162</v>
      </c>
      <c r="C45" s="1290" t="s">
        <v>163</v>
      </c>
      <c r="D45" s="1290"/>
      <c r="E45" s="2897"/>
      <c r="F45" s="2897"/>
      <c r="G45" s="2896">
        <v>1</v>
      </c>
      <c r="H45" s="1290"/>
      <c r="I45" s="1290"/>
      <c r="J45" s="1290"/>
      <c r="K45" s="1290"/>
      <c r="L45" s="1291"/>
      <c r="M45" s="1292"/>
      <c r="N45" s="1292"/>
      <c r="O45" s="1292"/>
      <c r="P45" s="291"/>
      <c r="Q45" s="289"/>
      <c r="R45" s="290"/>
      <c r="S45" s="1151" t="str">
        <f>INDEX(PT_DIFFERENTIATION_NUM_CS,MATCH(C45,PT_DIFFERENTIATION_CS_ID,0))</f>
        <v>..</v>
      </c>
      <c r="T45" s="247" t="s">
        <v>444</v>
      </c>
      <c r="U45" s="238"/>
      <c r="V45" s="2890"/>
      <c r="W45" s="2891"/>
      <c r="X45" s="2891"/>
      <c r="Y45" s="2891"/>
      <c r="Z45" s="2891"/>
      <c r="AA45" s="2891"/>
      <c r="AB45" s="2891"/>
      <c r="AC45" s="2892"/>
      <c r="AD45" s="2890" t="str">
        <f>INDEX(PT_DIFFERENTIATION_CS,MATCH(C45,PT_DIFFERENTIATION_CS_ID,0))</f>
        <v/>
      </c>
      <c r="AE45" s="2891"/>
      <c r="AF45" s="2891"/>
      <c r="AG45" s="2891"/>
      <c r="AH45" s="2891"/>
      <c r="AI45" s="2891"/>
      <c r="AJ45" s="2891"/>
      <c r="AK45" s="2891"/>
      <c r="AL45" s="2892"/>
      <c r="AM45" s="1185" t="s">
        <v>445</v>
      </c>
      <c r="AO45" s="437"/>
      <c r="AP45" s="437" t="str">
        <f t="shared" si="1"/>
        <v xml:space="preserve">Наименование системы теплоснабжения </v>
      </c>
      <c r="AQ45" s="437"/>
      <c r="AR45" s="437"/>
      <c r="AS45" s="1082">
        <v>23</v>
      </c>
    </row>
    <row r="46" spans="1:45" ht="24" customHeight="1">
      <c r="A46" s="1290" t="s">
        <v>161</v>
      </c>
      <c r="B46" s="1290" t="s">
        <v>162</v>
      </c>
      <c r="C46" s="1290" t="s">
        <v>163</v>
      </c>
      <c r="D46" s="1290" t="s">
        <v>164</v>
      </c>
      <c r="E46" s="2897"/>
      <c r="F46" s="2897"/>
      <c r="G46" s="2897"/>
      <c r="H46" s="2896">
        <v>1</v>
      </c>
      <c r="I46" s="1290"/>
      <c r="J46" s="1290"/>
      <c r="K46" s="1290"/>
      <c r="L46" s="1291"/>
      <c r="M46" s="1292"/>
      <c r="N46" s="1292"/>
      <c r="O46" s="1292"/>
      <c r="P46" s="291"/>
      <c r="Q46" s="289"/>
      <c r="R46" s="290"/>
      <c r="S46" s="1151" t="str">
        <f>INDEX(PT_DIFFERENTIATION_NUM_IST_TE,MATCH(D46,PT_DIFFERENTIATION_IST_TE_ID,0))</f>
        <v>...</v>
      </c>
      <c r="T46" s="248" t="s">
        <v>446</v>
      </c>
      <c r="U46" s="238"/>
      <c r="V46" s="2890"/>
      <c r="W46" s="2891"/>
      <c r="X46" s="2891"/>
      <c r="Y46" s="2891"/>
      <c r="Z46" s="2891"/>
      <c r="AA46" s="2891"/>
      <c r="AB46" s="2891"/>
      <c r="AC46" s="2892"/>
      <c r="AD46" s="2890" t="str">
        <f>INDEX(PT_DIFFERENTIATION_IST_TE,MATCH(D46,PT_DIFFERENTIATION_IST_TE_ID,0))</f>
        <v/>
      </c>
      <c r="AE46" s="2891"/>
      <c r="AF46" s="2891"/>
      <c r="AG46" s="2891"/>
      <c r="AH46" s="2891"/>
      <c r="AI46" s="2891"/>
      <c r="AJ46" s="2891"/>
      <c r="AK46" s="2891"/>
      <c r="AL46" s="2892"/>
      <c r="AM46" s="1185" t="s">
        <v>447</v>
      </c>
      <c r="AO46" s="437"/>
      <c r="AP46" s="437" t="str">
        <f t="shared" si="1"/>
        <v xml:space="preserve">Источник тепловой энергии  </v>
      </c>
      <c r="AQ46" s="437"/>
      <c r="AR46" s="437"/>
      <c r="AS46" s="1082">
        <v>23</v>
      </c>
    </row>
    <row r="47" spans="1:45" ht="49.5" customHeight="1">
      <c r="A47" s="1290" t="s">
        <v>161</v>
      </c>
      <c r="B47" s="1290" t="s">
        <v>162</v>
      </c>
      <c r="C47" s="1290" t="s">
        <v>163</v>
      </c>
      <c r="D47" s="1290" t="s">
        <v>164</v>
      </c>
      <c r="E47" s="2897"/>
      <c r="F47" s="2897"/>
      <c r="G47" s="2897"/>
      <c r="H47" s="2897"/>
      <c r="I47" s="2898" t="str">
        <f>S46&amp;".1"</f>
        <v>....1</v>
      </c>
      <c r="J47" s="1290"/>
      <c r="K47" s="1290"/>
      <c r="L47" s="1291" t="s">
        <v>448</v>
      </c>
      <c r="P47" s="2900">
        <v>1</v>
      </c>
      <c r="Q47" s="1147"/>
      <c r="R47" s="293"/>
      <c r="S47" s="1151" t="str">
        <f>$I47</f>
        <v>....1</v>
      </c>
      <c r="T47" s="223" t="s">
        <v>449</v>
      </c>
      <c r="U47" s="238"/>
      <c r="V47" s="2884"/>
      <c r="W47" s="2885"/>
      <c r="X47" s="2885"/>
      <c r="Y47" s="2885"/>
      <c r="Z47" s="2885"/>
      <c r="AA47" s="2885"/>
      <c r="AB47" s="2885"/>
      <c r="AC47" s="2886"/>
      <c r="AD47" s="2884"/>
      <c r="AE47" s="2885"/>
      <c r="AF47" s="2885"/>
      <c r="AG47" s="2885"/>
      <c r="AH47" s="2885"/>
      <c r="AI47" s="2885"/>
      <c r="AJ47" s="2885"/>
      <c r="AK47" s="2885"/>
      <c r="AL47" s="2886"/>
      <c r="AM47" s="1185" t="s">
        <v>450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4" customHeight="1">
      <c r="A48" s="1290" t="s">
        <v>161</v>
      </c>
      <c r="B48" s="1290" t="s">
        <v>162</v>
      </c>
      <c r="C48" s="1290" t="s">
        <v>163</v>
      </c>
      <c r="D48" s="1290" t="s">
        <v>164</v>
      </c>
      <c r="E48" s="2897"/>
      <c r="F48" s="2897"/>
      <c r="G48" s="2897"/>
      <c r="H48" s="2897"/>
      <c r="I48" s="2899"/>
      <c r="J48" s="2898" t="str">
        <f>I47&amp;".1"</f>
        <v>....1.1</v>
      </c>
      <c r="K48" s="1290"/>
      <c r="L48" s="1291" t="s">
        <v>451</v>
      </c>
      <c r="P48" s="2900"/>
      <c r="Q48" s="2900">
        <v>1</v>
      </c>
      <c r="R48" s="294"/>
      <c r="S48" s="1151" t="str">
        <f>$J48</f>
        <v>....1.1</v>
      </c>
      <c r="T48" s="224" t="s">
        <v>452</v>
      </c>
      <c r="U48" s="238"/>
      <c r="V48" s="2884"/>
      <c r="W48" s="2885"/>
      <c r="X48" s="2885"/>
      <c r="Y48" s="2885"/>
      <c r="Z48" s="2885"/>
      <c r="AA48" s="2885"/>
      <c r="AB48" s="2885"/>
      <c r="AC48" s="2886"/>
      <c r="AD48" s="2884"/>
      <c r="AE48" s="2885"/>
      <c r="AF48" s="2885"/>
      <c r="AG48" s="2885"/>
      <c r="AH48" s="2885"/>
      <c r="AI48" s="2885"/>
      <c r="AJ48" s="2885"/>
      <c r="AK48" s="2885"/>
      <c r="AL48" s="2886"/>
      <c r="AM48" s="1185" t="s">
        <v>453</v>
      </c>
      <c r="AO48" s="437"/>
      <c r="AP48" s="437" t="str">
        <f t="shared" si="1"/>
        <v>Группа потребителей</v>
      </c>
      <c r="AQ48" s="437"/>
      <c r="AR48" s="437"/>
      <c r="AS48" s="1082">
        <v>23</v>
      </c>
    </row>
    <row r="49" spans="1:45" ht="24" customHeight="1">
      <c r="A49" s="1290" t="s">
        <v>161</v>
      </c>
      <c r="B49" s="1290" t="s">
        <v>162</v>
      </c>
      <c r="C49" s="1290" t="s">
        <v>163</v>
      </c>
      <c r="D49" s="1290" t="s">
        <v>164</v>
      </c>
      <c r="E49" s="2897"/>
      <c r="F49" s="2897"/>
      <c r="G49" s="2897"/>
      <c r="H49" s="2897"/>
      <c r="I49" s="2899"/>
      <c r="J49" s="2899"/>
      <c r="K49" s="2898" t="str">
        <f>J48&amp;".1"</f>
        <v>....1.1.1</v>
      </c>
      <c r="L49" s="1291" t="s">
        <v>454</v>
      </c>
      <c r="P49" s="2900"/>
      <c r="Q49" s="2900"/>
      <c r="R49" s="294">
        <v>1</v>
      </c>
      <c r="S49" s="1151" t="str">
        <f>$K49</f>
        <v>....1.1.1</v>
      </c>
      <c r="T49" s="1274"/>
      <c r="U49" s="238"/>
      <c r="V49" s="688"/>
      <c r="W49" s="263"/>
      <c r="X49" s="688"/>
      <c r="Y49" s="1184"/>
      <c r="Z49" s="2901"/>
      <c r="AA49" s="2768" t="s">
        <v>71</v>
      </c>
      <c r="AB49" s="2901"/>
      <c r="AC49" s="2768" t="s">
        <v>71</v>
      </c>
      <c r="AD49" s="688"/>
      <c r="AE49" s="263"/>
      <c r="AF49" s="688"/>
      <c r="AG49" s="1184"/>
      <c r="AH49" s="2901"/>
      <c r="AI49" s="2768" t="s">
        <v>71</v>
      </c>
      <c r="AJ49" s="2903"/>
      <c r="AK49" s="2768" t="s">
        <v>71</v>
      </c>
      <c r="AL49" s="1275"/>
      <c r="AM49" s="2919" t="s">
        <v>455</v>
      </c>
      <c r="AN49" s="448" t="e">
        <f ca="1">STRCHECKDATE(V50:AL50)</f>
        <v>#NAME?</v>
      </c>
      <c r="AO49" s="437"/>
      <c r="AP49" s="437" t="str">
        <f t="shared" si="1"/>
        <v/>
      </c>
      <c r="AQ49" s="437"/>
      <c r="AR49" s="437"/>
      <c r="AS49" s="1082">
        <v>23</v>
      </c>
    </row>
    <row r="50" spans="1:45" ht="0.75" customHeight="1">
      <c r="A50" s="1290" t="s">
        <v>161</v>
      </c>
      <c r="B50" s="1290" t="s">
        <v>162</v>
      </c>
      <c r="C50" s="1290" t="s">
        <v>163</v>
      </c>
      <c r="D50" s="1290" t="s">
        <v>164</v>
      </c>
      <c r="E50" s="2897"/>
      <c r="F50" s="2897"/>
      <c r="G50" s="2897"/>
      <c r="H50" s="2897"/>
      <c r="I50" s="2899"/>
      <c r="J50" s="2899"/>
      <c r="K50" s="2898"/>
      <c r="L50" s="1291"/>
      <c r="P50" s="2900"/>
      <c r="Q50" s="2900"/>
      <c r="R50" s="294"/>
      <c r="S50" s="1150"/>
      <c r="T50" s="238"/>
      <c r="U50" s="238"/>
      <c r="V50" s="263"/>
      <c r="W50" s="263"/>
      <c r="X50" s="263"/>
      <c r="Y50" s="266" t="str">
        <f>Z49&amp;"-"&amp;AB49</f>
        <v>-</v>
      </c>
      <c r="Z50" s="2902"/>
      <c r="AA50" s="2768"/>
      <c r="AB50" s="2902"/>
      <c r="AC50" s="2768"/>
      <c r="AD50" s="263"/>
      <c r="AE50" s="263"/>
      <c r="AF50" s="263"/>
      <c r="AG50" s="266" t="str">
        <f>AH49&amp;"-"&amp;AJ49</f>
        <v>-</v>
      </c>
      <c r="AH50" s="2902"/>
      <c r="AI50" s="2768"/>
      <c r="AJ50" s="2904"/>
      <c r="AK50" s="2768"/>
      <c r="AL50" s="1276"/>
      <c r="AM50" s="2920"/>
      <c r="AO50" s="437"/>
      <c r="AP50" s="437" t="str">
        <f t="shared" si="1"/>
        <v/>
      </c>
      <c r="AQ50" s="437"/>
      <c r="AR50" s="437"/>
      <c r="AS50" s="1082">
        <v>1</v>
      </c>
    </row>
    <row r="51" spans="1:45" ht="11.25" customHeight="1">
      <c r="A51" s="1290" t="s">
        <v>161</v>
      </c>
      <c r="B51" s="1290" t="s">
        <v>162</v>
      </c>
      <c r="C51" s="1290" t="s">
        <v>163</v>
      </c>
      <c r="D51" s="1290" t="s">
        <v>164</v>
      </c>
      <c r="E51" s="2897"/>
      <c r="F51" s="2897"/>
      <c r="G51" s="2897"/>
      <c r="H51" s="2897"/>
      <c r="I51" s="2899"/>
      <c r="J51" s="2898"/>
      <c r="K51" s="1290"/>
      <c r="L51" s="1291"/>
      <c r="P51" s="2900"/>
      <c r="Q51" s="2900"/>
      <c r="R51" s="293"/>
      <c r="S51" s="1205"/>
      <c r="T51" s="226" t="s">
        <v>456</v>
      </c>
      <c r="U51" s="304"/>
      <c r="V51" s="304"/>
      <c r="W51" s="304"/>
      <c r="X51" s="304"/>
      <c r="Y51" s="304"/>
      <c r="Z51" s="304"/>
      <c r="AA51" s="304"/>
      <c r="AB51" s="304"/>
      <c r="AC51" s="304"/>
      <c r="AD51" s="304"/>
      <c r="AE51" s="304"/>
      <c r="AF51" s="304"/>
      <c r="AG51" s="304"/>
      <c r="AH51" s="304"/>
      <c r="AI51" s="304"/>
      <c r="AJ51" s="304"/>
      <c r="AK51" s="304"/>
      <c r="AL51" s="262"/>
      <c r="AM51" s="2921"/>
      <c r="AO51" s="437"/>
      <c r="AP51" s="437" t="str">
        <f t="shared" si="1"/>
        <v>Добавить вид теплоносителя (параметры теплоносителя)</v>
      </c>
      <c r="AQ51" s="437"/>
      <c r="AR51" s="437"/>
      <c r="AS51" s="1082">
        <v>11</v>
      </c>
    </row>
    <row r="52" spans="1:45" ht="11.25" customHeight="1">
      <c r="A52" s="1290" t="s">
        <v>161</v>
      </c>
      <c r="B52" s="1290" t="s">
        <v>162</v>
      </c>
      <c r="C52" s="1290" t="s">
        <v>163</v>
      </c>
      <c r="D52" s="1290" t="s">
        <v>164</v>
      </c>
      <c r="E52" s="2897"/>
      <c r="F52" s="2897"/>
      <c r="G52" s="2897"/>
      <c r="H52" s="2897"/>
      <c r="I52" s="2898"/>
      <c r="J52" s="1290"/>
      <c r="K52" s="1290"/>
      <c r="L52" s="1291"/>
      <c r="P52" s="2900"/>
      <c r="Q52" s="1147"/>
      <c r="R52" s="293"/>
      <c r="S52" s="1205"/>
      <c r="T52" s="225" t="s">
        <v>457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5" customHeight="1">
      <c r="A53" s="1290" t="s">
        <v>161</v>
      </c>
      <c r="B53" s="1290" t="s">
        <v>162</v>
      </c>
      <c r="C53" s="1290" t="s">
        <v>163</v>
      </c>
      <c r="D53" s="1290" t="s">
        <v>164</v>
      </c>
      <c r="E53" s="2897"/>
      <c r="F53" s="2897"/>
      <c r="G53" s="2897"/>
      <c r="H53" s="2896"/>
      <c r="I53" s="1290"/>
      <c r="J53" s="1290"/>
      <c r="K53" s="1290"/>
      <c r="L53" s="1291"/>
      <c r="M53" s="1292"/>
      <c r="N53" s="1292"/>
      <c r="O53" s="474"/>
      <c r="P53" s="297"/>
      <c r="Q53" s="312"/>
      <c r="R53" s="292"/>
      <c r="S53" s="1205"/>
      <c r="T53" s="302" t="s">
        <v>458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0.75" customHeight="1">
      <c r="A54" s="1270" t="s">
        <v>161</v>
      </c>
      <c r="B54" s="1270" t="s">
        <v>162</v>
      </c>
      <c r="C54" s="1270" t="s">
        <v>163</v>
      </c>
      <c r="D54" s="1241"/>
      <c r="E54" s="2897"/>
      <c r="F54" s="2897"/>
      <c r="G54" s="2896"/>
      <c r="H54" s="1241"/>
      <c r="I54" s="1241"/>
      <c r="J54" s="1241"/>
      <c r="K54" s="1241"/>
      <c r="L54" s="1266"/>
      <c r="M54" s="1242"/>
      <c r="N54" s="1242"/>
      <c r="P54" s="1243"/>
      <c r="Q54" s="1244"/>
      <c r="R54" s="1243"/>
      <c r="S54" s="1249"/>
      <c r="T54" s="1252" t="s">
        <v>174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0.75" customHeight="1">
      <c r="A55" s="1270" t="s">
        <v>161</v>
      </c>
      <c r="B55" s="1270" t="s">
        <v>162</v>
      </c>
      <c r="C55" s="1241"/>
      <c r="D55" s="1241"/>
      <c r="E55" s="2897"/>
      <c r="F55" s="2896"/>
      <c r="G55" s="1241"/>
      <c r="H55" s="1241"/>
      <c r="I55" s="1241"/>
      <c r="J55" s="1241"/>
      <c r="K55" s="1241"/>
      <c r="L55" s="1266"/>
      <c r="M55" s="1248"/>
      <c r="N55" s="1248"/>
      <c r="P55" s="1243"/>
      <c r="Q55" s="1244"/>
      <c r="R55" s="1243"/>
      <c r="S55" s="1249"/>
      <c r="T55" s="1252" t="s">
        <v>176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0.75" customHeight="1">
      <c r="A56" s="1270" t="s">
        <v>161</v>
      </c>
      <c r="B56" s="1270"/>
      <c r="C56" s="1270"/>
      <c r="D56" s="1270"/>
      <c r="E56" s="2896"/>
      <c r="F56" s="1270"/>
      <c r="G56" s="1270"/>
      <c r="H56" s="1270"/>
      <c r="I56" s="1270"/>
      <c r="J56" s="1270"/>
      <c r="K56" s="1270"/>
      <c r="L56" s="1273"/>
      <c r="M56" s="1248"/>
      <c r="N56" s="1248"/>
      <c r="O56" s="455"/>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0.75" customHeight="1">
      <c r="A57" s="1241"/>
      <c r="B57" s="1241"/>
      <c r="C57" s="1241"/>
      <c r="D57" s="1241"/>
      <c r="E57" s="1270"/>
      <c r="F57" s="1241"/>
      <c r="G57" s="1241"/>
      <c r="H57" s="1241"/>
      <c r="I57" s="1241"/>
      <c r="J57" s="1241"/>
      <c r="K57" s="1241"/>
      <c r="L57" s="1266"/>
      <c r="M57" s="1248"/>
      <c r="N57" s="1248"/>
      <c r="P57" s="1243"/>
      <c r="Q57" s="1244"/>
      <c r="R57" s="1243"/>
      <c r="S57" s="1249"/>
      <c r="T57" s="1252" t="s">
        <v>212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25" customHeight="1">
      <c r="M58" s="1087"/>
      <c r="N58" s="1087"/>
      <c r="O58" s="474"/>
      <c r="P58" s="1082"/>
      <c r="Q58" s="1082"/>
      <c r="R58" s="1082"/>
      <c r="S58" s="1082"/>
      <c r="AN58" s="1082"/>
      <c r="AO58" s="1082"/>
      <c r="AP58" s="1082"/>
      <c r="AQ58" s="1082"/>
      <c r="AR58" s="1082"/>
      <c r="AS58" s="1082">
        <v>11</v>
      </c>
    </row>
    <row r="59" spans="1:45" ht="28.5" customHeight="1">
      <c r="O59" s="474"/>
      <c r="S59" s="1180"/>
      <c r="T59" s="2895"/>
      <c r="U59" s="2895"/>
      <c r="V59" s="2895"/>
      <c r="W59" s="2895"/>
      <c r="X59" s="2895"/>
      <c r="Y59" s="2895"/>
      <c r="Z59" s="2895"/>
      <c r="AA59" s="2895"/>
      <c r="AB59" s="2895"/>
      <c r="AC59" s="2895"/>
      <c r="AD59" s="2895"/>
      <c r="AE59" s="2895"/>
      <c r="AF59" s="2895"/>
      <c r="AG59" s="2895"/>
      <c r="AH59" s="2895"/>
      <c r="AI59" s="2895"/>
      <c r="AJ59" s="2895"/>
      <c r="AK59" s="2895"/>
      <c r="AL59" s="2895"/>
      <c r="AM59" s="2895"/>
      <c r="AS59" s="1082">
        <v>27</v>
      </c>
    </row>
    <row r="60" spans="1:45" ht="67.5" customHeight="1">
      <c r="O60" s="474"/>
      <c r="P60" s="1230"/>
      <c r="T60" s="2895"/>
      <c r="U60" s="2895"/>
      <c r="V60" s="2895"/>
      <c r="W60" s="2895"/>
      <c r="X60" s="2895"/>
      <c r="Y60" s="2895"/>
      <c r="Z60" s="2895"/>
      <c r="AA60" s="2895"/>
      <c r="AB60" s="2895"/>
      <c r="AC60" s="2895"/>
      <c r="AD60" s="2895"/>
      <c r="AE60" s="2895"/>
      <c r="AF60" s="2895"/>
      <c r="AG60" s="2895"/>
      <c r="AH60" s="2895"/>
      <c r="AI60" s="2895"/>
      <c r="AJ60" s="2895"/>
      <c r="AK60" s="2895"/>
      <c r="AL60" s="2895"/>
      <c r="AM60" s="2895"/>
      <c r="AS60" s="1082">
        <v>64</v>
      </c>
    </row>
    <row r="61" spans="1:45" ht="15" customHeight="1">
      <c r="O61" s="474"/>
      <c r="AS61" s="1082">
        <v>14</v>
      </c>
    </row>
    <row r="62" spans="1:45" ht="18.75" customHeight="1">
      <c r="O62" s="474"/>
      <c r="P62" s="1255"/>
      <c r="S62" s="1180"/>
      <c r="T62" s="2895"/>
      <c r="U62" s="2895"/>
      <c r="V62" s="2895"/>
      <c r="W62" s="2895"/>
      <c r="X62" s="2895"/>
      <c r="Y62" s="2895"/>
      <c r="Z62" s="2895"/>
      <c r="AA62" s="2895"/>
      <c r="AB62" s="2895"/>
      <c r="AC62" s="2895"/>
      <c r="AD62" s="2895"/>
      <c r="AE62" s="2895"/>
      <c r="AF62" s="2895"/>
      <c r="AG62" s="2895"/>
      <c r="AH62" s="2895"/>
      <c r="AI62" s="2895"/>
      <c r="AJ62" s="2895"/>
      <c r="AK62" s="2895"/>
      <c r="AL62" s="2895"/>
      <c r="AM62" s="2895"/>
      <c r="AS62" s="1082">
        <v>18</v>
      </c>
    </row>
    <row r="63" spans="1:45" ht="18.75" customHeight="1">
      <c r="O63" s="474"/>
      <c r="P63" s="1255"/>
      <c r="T63" s="2895"/>
      <c r="U63" s="2895"/>
      <c r="V63" s="2895"/>
      <c r="W63" s="2895"/>
      <c r="X63" s="2895"/>
      <c r="Y63" s="2895"/>
      <c r="Z63" s="2895"/>
      <c r="AA63" s="2895"/>
      <c r="AB63" s="2895"/>
      <c r="AC63" s="2895"/>
      <c r="AD63" s="2895"/>
      <c r="AE63" s="2895"/>
      <c r="AF63" s="2895"/>
      <c r="AG63" s="2895"/>
      <c r="AH63" s="2895"/>
      <c r="AI63" s="2895"/>
      <c r="AJ63" s="2895"/>
      <c r="AK63" s="2895"/>
      <c r="AL63" s="2895"/>
      <c r="AM63" s="2895"/>
      <c r="AS63" s="1082">
        <v>18</v>
      </c>
    </row>
    <row r="64" spans="1:45" ht="29.25" customHeight="1">
      <c r="O64" s="474"/>
      <c r="P64" s="1255"/>
      <c r="S64" s="1180"/>
      <c r="T64" s="2895"/>
      <c r="U64" s="2895"/>
      <c r="V64" s="2895"/>
      <c r="W64" s="2895"/>
      <c r="X64" s="2895"/>
      <c r="Y64" s="2895"/>
      <c r="Z64" s="2895"/>
      <c r="AA64" s="2895"/>
      <c r="AB64" s="2895"/>
      <c r="AC64" s="2895"/>
      <c r="AD64" s="2895"/>
      <c r="AE64" s="2895"/>
      <c r="AF64" s="2895"/>
      <c r="AG64" s="2895"/>
      <c r="AH64" s="2895"/>
      <c r="AI64" s="2895"/>
      <c r="AJ64" s="2895"/>
      <c r="AK64" s="2895"/>
      <c r="AL64" s="2895"/>
      <c r="AM64" s="2895"/>
      <c r="AS64" s="1082">
        <v>28</v>
      </c>
    </row>
    <row r="65" spans="1:45" ht="22.5" hidden="1" customHeight="1">
      <c r="A65" s="1087" t="s">
        <v>87</v>
      </c>
      <c r="B65" s="1087">
        <v>0</v>
      </c>
      <c r="C65" s="1087">
        <v>0</v>
      </c>
      <c r="D65" s="1087">
        <v>0</v>
      </c>
      <c r="E65" s="1087">
        <v>0</v>
      </c>
      <c r="F65" s="1087">
        <v>0</v>
      </c>
      <c r="G65" s="1087">
        <v>0</v>
      </c>
      <c r="H65" s="1087">
        <v>0</v>
      </c>
      <c r="I65" s="1087">
        <v>0</v>
      </c>
      <c r="J65" s="1087">
        <v>0</v>
      </c>
      <c r="K65" s="1087">
        <v>0</v>
      </c>
      <c r="L65" s="1256">
        <v>0</v>
      </c>
      <c r="M65" s="1289">
        <v>0</v>
      </c>
      <c r="N65" s="1289">
        <v>0</v>
      </c>
      <c r="O65" s="1289">
        <v>0</v>
      </c>
      <c r="P65" s="1145">
        <v>3</v>
      </c>
      <c r="Q65" s="282">
        <v>3</v>
      </c>
      <c r="R65" s="282">
        <v>3</v>
      </c>
      <c r="S65" s="518">
        <v>12</v>
      </c>
      <c r="T65" s="1082">
        <v>35</v>
      </c>
      <c r="U65" s="1082">
        <v>0</v>
      </c>
      <c r="V65" s="1082">
        <v>0</v>
      </c>
      <c r="W65" s="1082">
        <v>0</v>
      </c>
      <c r="X65" s="1082">
        <v>0</v>
      </c>
      <c r="Y65" s="1082">
        <v>0</v>
      </c>
      <c r="Z65" s="1082">
        <v>0</v>
      </c>
      <c r="AA65" s="1082">
        <v>0</v>
      </c>
      <c r="AB65" s="1082">
        <v>0</v>
      </c>
      <c r="AC65" s="1082">
        <v>0</v>
      </c>
      <c r="AD65" s="1082">
        <v>24</v>
      </c>
      <c r="AE65" s="1082">
        <v>0</v>
      </c>
      <c r="AF65" s="1082">
        <v>24</v>
      </c>
      <c r="AG65" s="1082">
        <v>24</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2">
    <mergeCell ref="V43:AC43"/>
    <mergeCell ref="V44:AC44"/>
    <mergeCell ref="V45:AC45"/>
    <mergeCell ref="V46:AC46"/>
    <mergeCell ref="V47:AC47"/>
    <mergeCell ref="V48:AC48"/>
    <mergeCell ref="AD43:AL43"/>
    <mergeCell ref="AD44:AL44"/>
    <mergeCell ref="AD45:AL45"/>
    <mergeCell ref="AD46:AL46"/>
    <mergeCell ref="AD47:AL47"/>
    <mergeCell ref="AD48:AL48"/>
    <mergeCell ref="S26:AJ26"/>
    <mergeCell ref="S27:AJ27"/>
    <mergeCell ref="S29:T29"/>
    <mergeCell ref="S30:T30"/>
    <mergeCell ref="S31:T31"/>
    <mergeCell ref="S32:T32"/>
    <mergeCell ref="AD31:AJ31"/>
    <mergeCell ref="AD32:AJ32"/>
    <mergeCell ref="AD37:AK37"/>
    <mergeCell ref="AC49:AC50"/>
    <mergeCell ref="AM49:AM51"/>
    <mergeCell ref="AM8:AM10"/>
    <mergeCell ref="K8:K9"/>
    <mergeCell ref="P6:P11"/>
    <mergeCell ref="E43:E56"/>
    <mergeCell ref="F44:F55"/>
    <mergeCell ref="G45:G54"/>
    <mergeCell ref="H46:H53"/>
    <mergeCell ref="V40:V41"/>
    <mergeCell ref="X40:Y40"/>
    <mergeCell ref="V29:AB29"/>
    <mergeCell ref="V30:AB30"/>
    <mergeCell ref="V31:AB31"/>
    <mergeCell ref="V32:AB32"/>
    <mergeCell ref="Q7:Q10"/>
    <mergeCell ref="AH8:AH9"/>
    <mergeCell ref="AI8:AI9"/>
    <mergeCell ref="AJ8:AJ9"/>
    <mergeCell ref="Z8:Z9"/>
    <mergeCell ref="AA8:AA9"/>
    <mergeCell ref="AB8:AB9"/>
    <mergeCell ref="AC8:AC9"/>
    <mergeCell ref="AH17:AH18"/>
    <mergeCell ref="Z40:AB40"/>
    <mergeCell ref="AA41:AB41"/>
    <mergeCell ref="AA42:AB42"/>
    <mergeCell ref="V37:AC37"/>
    <mergeCell ref="S38:AL38"/>
    <mergeCell ref="AM38:AM41"/>
    <mergeCell ref="S39:S41"/>
    <mergeCell ref="T39:T41"/>
    <mergeCell ref="V39:AB39"/>
    <mergeCell ref="AC39:AC41"/>
    <mergeCell ref="AL39:AL41"/>
    <mergeCell ref="AI42:AJ42"/>
    <mergeCell ref="AD39:AJ39"/>
    <mergeCell ref="AK39:AK41"/>
    <mergeCell ref="AD40:AD41"/>
    <mergeCell ref="AE40:AE41"/>
    <mergeCell ref="AF40:AG40"/>
    <mergeCell ref="AH40:AJ40"/>
    <mergeCell ref="AI41:AJ41"/>
    <mergeCell ref="T62:AM62"/>
    <mergeCell ref="T63:AM63"/>
    <mergeCell ref="T64:AM64"/>
    <mergeCell ref="E2:E15"/>
    <mergeCell ref="F3:F14"/>
    <mergeCell ref="G4:G13"/>
    <mergeCell ref="H5:H12"/>
    <mergeCell ref="I6:I11"/>
    <mergeCell ref="J7:J10"/>
    <mergeCell ref="I47:I52"/>
    <mergeCell ref="J48:J51"/>
    <mergeCell ref="K49:K50"/>
    <mergeCell ref="P47:P52"/>
    <mergeCell ref="Q48:Q51"/>
    <mergeCell ref="AH49:AH50"/>
    <mergeCell ref="AI49:AI50"/>
    <mergeCell ref="AJ49:AJ50"/>
    <mergeCell ref="AK49:AK50"/>
    <mergeCell ref="T59:AM59"/>
    <mergeCell ref="W40:W41"/>
    <mergeCell ref="T60:AM60"/>
    <mergeCell ref="Z49:Z50"/>
    <mergeCell ref="AA49:AA50"/>
    <mergeCell ref="AB49:AB50"/>
    <mergeCell ref="V7:AC7"/>
    <mergeCell ref="AD7:AL7"/>
    <mergeCell ref="S34:T34"/>
    <mergeCell ref="V34:AB34"/>
    <mergeCell ref="AD34:AJ34"/>
    <mergeCell ref="S35:T35"/>
    <mergeCell ref="V35:AB35"/>
    <mergeCell ref="AD35:AJ35"/>
    <mergeCell ref="V2:AC2"/>
    <mergeCell ref="AD2:AL2"/>
    <mergeCell ref="V3:AC3"/>
    <mergeCell ref="AD3:AL3"/>
    <mergeCell ref="V4:AC4"/>
    <mergeCell ref="AD4:AL4"/>
    <mergeCell ref="V5:AC5"/>
    <mergeCell ref="AD5:AL5"/>
    <mergeCell ref="V6:AC6"/>
    <mergeCell ref="AD6:AL6"/>
    <mergeCell ref="AI17:AI18"/>
    <mergeCell ref="AJ17:AJ18"/>
    <mergeCell ref="AK17:AK18"/>
    <mergeCell ref="AK8:AK9"/>
    <mergeCell ref="AD29:AJ29"/>
    <mergeCell ref="AD30:AJ3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171"/>
  <sheetViews>
    <sheetView showGridLines="0" zoomScale="90" workbookViewId="0">
      <pane xSplit="29" ySplit="42" topLeftCell="AD181" activePane="bottomRight" state="frozen"/>
      <selection pane="topRight" activeCell="AD1" sqref="AD1"/>
      <selection pane="bottomLeft" activeCell="A43" sqref="A43"/>
      <selection pane="bottomRight" activeCell="AM130" sqref="AM130"/>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896">
        <v>1</v>
      </c>
      <c r="F2" s="1290"/>
      <c r="G2" s="1290"/>
      <c r="H2" s="1290"/>
      <c r="I2" s="1290"/>
      <c r="J2" s="1290"/>
      <c r="K2" s="1290"/>
      <c r="L2" s="1291"/>
      <c r="M2" s="1292"/>
      <c r="N2" s="1292"/>
      <c r="O2" s="1292"/>
      <c r="P2" s="298"/>
      <c r="Q2" s="297"/>
      <c r="R2" s="292"/>
      <c r="S2" s="1263" t="e">
        <f>INDEX(PT_DIFFERENTIATION_NUM_NTAR,MATCH(A2,PT_DIFFERENTIATION_NTAR_ID,0))</f>
        <v>#N/A</v>
      </c>
      <c r="T2" s="236" t="s">
        <v>128</v>
      </c>
      <c r="U2" s="238"/>
      <c r="V2" s="2890"/>
      <c r="W2" s="2891"/>
      <c r="X2" s="2891"/>
      <c r="Y2" s="2891"/>
      <c r="Z2" s="2891"/>
      <c r="AA2" s="2891"/>
      <c r="AB2" s="2891"/>
      <c r="AC2" s="2892"/>
      <c r="AD2" s="2890" t="e">
        <f>INDEX(PT_DIFFERENTIATION_NTAR,MATCH(A2,PT_DIFFERENTIATION_NTAR_ID,0))</f>
        <v>#N/A</v>
      </c>
      <c r="AE2" s="2891"/>
      <c r="AF2" s="2891"/>
      <c r="AG2" s="2891"/>
      <c r="AH2" s="2891"/>
      <c r="AI2" s="2891"/>
      <c r="AJ2" s="2891"/>
      <c r="AK2" s="2891"/>
      <c r="AL2" s="2892"/>
      <c r="AM2" s="1185" t="s">
        <v>441</v>
      </c>
      <c r="AO2" s="437"/>
      <c r="AP2" s="437" t="str">
        <f t="shared" ref="AP2:AP15" si="0">IF(T2="","",T2)</f>
        <v>Наименование тарифа</v>
      </c>
      <c r="AQ2" s="437"/>
      <c r="AR2" s="437"/>
      <c r="AS2" s="1082">
        <v>0</v>
      </c>
    </row>
    <row r="3" spans="1:45" ht="21" hidden="1" customHeight="1">
      <c r="A3" s="1290"/>
      <c r="B3" s="1290"/>
      <c r="C3" s="1290"/>
      <c r="D3" s="1290"/>
      <c r="E3" s="2897"/>
      <c r="F3" s="2896">
        <v>1</v>
      </c>
      <c r="G3" s="1290"/>
      <c r="H3" s="1290"/>
      <c r="I3" s="1290"/>
      <c r="J3" s="1290"/>
      <c r="K3" s="1290"/>
      <c r="L3" s="1291"/>
      <c r="M3" s="1292"/>
      <c r="N3" s="1292"/>
      <c r="O3" s="1292"/>
      <c r="P3" s="1259"/>
      <c r="Q3" s="289"/>
      <c r="R3" s="290"/>
      <c r="S3" s="1263" t="e">
        <f>INDEX(PT_DIFFERENTIATION_NUM_TER,MATCH(B3,PT_DIFFERENTIATION_TER_ID,0))</f>
        <v>#N/A</v>
      </c>
      <c r="T3" s="246" t="s">
        <v>442</v>
      </c>
      <c r="U3" s="238"/>
      <c r="V3" s="2890"/>
      <c r="W3" s="2891"/>
      <c r="X3" s="2891"/>
      <c r="Y3" s="2891"/>
      <c r="Z3" s="2891"/>
      <c r="AA3" s="2891"/>
      <c r="AB3" s="2891"/>
      <c r="AC3" s="2892"/>
      <c r="AD3" s="2890" t="e">
        <f>INDEX(PT_DIFFERENTIATION_TER,MATCH(B3,PT_DIFFERENTIATION_TER_ID,0))</f>
        <v>#N/A</v>
      </c>
      <c r="AE3" s="2891"/>
      <c r="AF3" s="2891"/>
      <c r="AG3" s="2891"/>
      <c r="AH3" s="2891"/>
      <c r="AI3" s="2891"/>
      <c r="AJ3" s="2891"/>
      <c r="AK3" s="2891"/>
      <c r="AL3" s="2892"/>
      <c r="AM3" s="1185" t="s">
        <v>443</v>
      </c>
      <c r="AO3" s="437"/>
      <c r="AP3" s="437" t="str">
        <f t="shared" si="0"/>
        <v>Территория действия тарифа</v>
      </c>
      <c r="AQ3" s="437"/>
      <c r="AR3" s="437"/>
      <c r="AS3" s="1082">
        <v>0</v>
      </c>
    </row>
    <row r="4" spans="1:45" ht="23.25" hidden="1" customHeight="1">
      <c r="A4" s="1290"/>
      <c r="B4" s="1290"/>
      <c r="C4" s="1290"/>
      <c r="D4" s="1290"/>
      <c r="E4" s="2897"/>
      <c r="F4" s="2897"/>
      <c r="G4" s="2896">
        <v>1</v>
      </c>
      <c r="H4" s="1290"/>
      <c r="I4" s="1290"/>
      <c r="J4" s="1290"/>
      <c r="K4" s="1290"/>
      <c r="L4" s="1291"/>
      <c r="M4" s="1292"/>
      <c r="N4" s="1292"/>
      <c r="O4" s="1292"/>
      <c r="P4" s="291"/>
      <c r="Q4" s="289"/>
      <c r="R4" s="290"/>
      <c r="S4" s="1263" t="e">
        <f>INDEX(PT_DIFFERENTIATION_NUM_CS,MATCH(C4,PT_DIFFERENTIATION_CS_ID,0))</f>
        <v>#N/A</v>
      </c>
      <c r="T4" s="247" t="s">
        <v>444</v>
      </c>
      <c r="U4" s="238"/>
      <c r="V4" s="2890"/>
      <c r="W4" s="2891"/>
      <c r="X4" s="2891"/>
      <c r="Y4" s="2891"/>
      <c r="Z4" s="2891"/>
      <c r="AA4" s="2891"/>
      <c r="AB4" s="2891"/>
      <c r="AC4" s="2892"/>
      <c r="AD4" s="2890" t="e">
        <f>INDEX(PT_DIFFERENTIATION_CS,MATCH(C4,PT_DIFFERENTIATION_CS_ID,0))</f>
        <v>#N/A</v>
      </c>
      <c r="AE4" s="2891"/>
      <c r="AF4" s="2891"/>
      <c r="AG4" s="2891"/>
      <c r="AH4" s="2891"/>
      <c r="AI4" s="2891"/>
      <c r="AJ4" s="2891"/>
      <c r="AK4" s="2891"/>
      <c r="AL4" s="2892"/>
      <c r="AM4" s="1185" t="s">
        <v>445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97"/>
      <c r="F5" s="2897"/>
      <c r="G5" s="2897"/>
      <c r="H5" s="2896">
        <v>1</v>
      </c>
      <c r="I5" s="1290"/>
      <c r="J5" s="1290"/>
      <c r="K5" s="1290"/>
      <c r="L5" s="1291"/>
      <c r="M5" s="1292"/>
      <c r="N5" s="1292"/>
      <c r="O5" s="1292"/>
      <c r="P5" s="291"/>
      <c r="Q5" s="289"/>
      <c r="R5" s="290"/>
      <c r="S5" s="1263" t="e">
        <f>INDEX(PT_DIFFERENTIATION_NUM_IST_TE,MATCH(D5,PT_DIFFERENTIATION_IST_TE_ID,0))</f>
        <v>#N/A</v>
      </c>
      <c r="T5" s="248" t="s">
        <v>446</v>
      </c>
      <c r="U5" s="238"/>
      <c r="V5" s="2890"/>
      <c r="W5" s="2891"/>
      <c r="X5" s="2891"/>
      <c r="Y5" s="2891"/>
      <c r="Z5" s="2891"/>
      <c r="AA5" s="2891"/>
      <c r="AB5" s="2891"/>
      <c r="AC5" s="2892"/>
      <c r="AD5" s="2890" t="e">
        <f>INDEX(PT_DIFFERENTIATION_IST_TE,MATCH(D5,PT_DIFFERENTIATION_IST_TE_ID,0))</f>
        <v>#N/A</v>
      </c>
      <c r="AE5" s="2891"/>
      <c r="AF5" s="2891"/>
      <c r="AG5" s="2891"/>
      <c r="AH5" s="2891"/>
      <c r="AI5" s="2891"/>
      <c r="AJ5" s="2891"/>
      <c r="AK5" s="2891"/>
      <c r="AL5" s="2892"/>
      <c r="AM5" s="1185" t="s">
        <v>447</v>
      </c>
      <c r="AO5" s="437"/>
      <c r="AP5" s="437" t="str">
        <f t="shared" si="0"/>
        <v xml:space="preserve">Источник тепловой энергии  </v>
      </c>
      <c r="AQ5" s="437"/>
      <c r="AR5" s="437"/>
      <c r="AS5" s="1082">
        <v>0</v>
      </c>
    </row>
    <row r="6" spans="1:45" ht="47.25" hidden="1" customHeight="1">
      <c r="A6" s="1290"/>
      <c r="B6" s="1290"/>
      <c r="C6" s="1290"/>
      <c r="D6" s="1290"/>
      <c r="E6" s="2897"/>
      <c r="F6" s="2897"/>
      <c r="G6" s="2897"/>
      <c r="H6" s="2897"/>
      <c r="I6" s="2898" t="e">
        <f>S5&amp;".1"</f>
        <v>#N/A</v>
      </c>
      <c r="J6" s="1290"/>
      <c r="K6" s="1290"/>
      <c r="L6" s="1291" t="s">
        <v>448</v>
      </c>
      <c r="M6" s="474"/>
      <c r="P6" s="2900">
        <v>1</v>
      </c>
      <c r="Q6" s="1258"/>
      <c r="R6" s="293"/>
      <c r="S6" s="1263" t="e">
        <f>$I6</f>
        <v>#N/A</v>
      </c>
      <c r="T6" s="223" t="s">
        <v>449</v>
      </c>
      <c r="U6" s="238"/>
      <c r="V6" s="2884"/>
      <c r="W6" s="2885"/>
      <c r="X6" s="2885"/>
      <c r="Y6" s="2885"/>
      <c r="Z6" s="2885"/>
      <c r="AA6" s="2885"/>
      <c r="AB6" s="2885"/>
      <c r="AC6" s="2886"/>
      <c r="AD6" s="2884"/>
      <c r="AE6" s="2885"/>
      <c r="AF6" s="2885"/>
      <c r="AG6" s="2885"/>
      <c r="AH6" s="2885"/>
      <c r="AI6" s="2885"/>
      <c r="AJ6" s="2885"/>
      <c r="AK6" s="2885"/>
      <c r="AL6" s="2886"/>
      <c r="AM6" s="1185" t="s">
        <v>450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897"/>
      <c r="F7" s="2897"/>
      <c r="G7" s="2897"/>
      <c r="H7" s="2897"/>
      <c r="I7" s="2899"/>
      <c r="J7" s="2898" t="e">
        <f>I6&amp;".1"</f>
        <v>#N/A</v>
      </c>
      <c r="K7" s="1290"/>
      <c r="L7" s="1291" t="s">
        <v>451</v>
      </c>
      <c r="M7" s="474"/>
      <c r="N7" s="1293"/>
      <c r="P7" s="2900"/>
      <c r="Q7" s="2900">
        <v>1</v>
      </c>
      <c r="R7" s="294"/>
      <c r="S7" s="1263" t="e">
        <f>$J7</f>
        <v>#N/A</v>
      </c>
      <c r="T7" s="224" t="s">
        <v>452</v>
      </c>
      <c r="U7" s="238"/>
      <c r="V7" s="2884"/>
      <c r="W7" s="2885"/>
      <c r="X7" s="2885"/>
      <c r="Y7" s="2885"/>
      <c r="Z7" s="2885"/>
      <c r="AA7" s="2885"/>
      <c r="AB7" s="2885"/>
      <c r="AC7" s="2886"/>
      <c r="AD7" s="2884"/>
      <c r="AE7" s="2885"/>
      <c r="AF7" s="2885"/>
      <c r="AG7" s="2885"/>
      <c r="AH7" s="2885"/>
      <c r="AI7" s="2885"/>
      <c r="AJ7" s="2885"/>
      <c r="AK7" s="2885"/>
      <c r="AL7" s="2886"/>
      <c r="AM7" s="1185" t="s">
        <v>453</v>
      </c>
      <c r="AO7" s="437"/>
      <c r="AP7" s="437" t="str">
        <f t="shared" si="0"/>
        <v>Группа потребителей</v>
      </c>
      <c r="AQ7" s="437"/>
      <c r="AR7" s="437"/>
      <c r="AS7" s="1082">
        <v>0</v>
      </c>
    </row>
    <row r="8" spans="1:45" ht="21" hidden="1" customHeight="1">
      <c r="A8" s="1290"/>
      <c r="B8" s="1290"/>
      <c r="C8" s="1290"/>
      <c r="D8" s="1290"/>
      <c r="E8" s="2897"/>
      <c r="F8" s="2897"/>
      <c r="G8" s="2897"/>
      <c r="H8" s="2897"/>
      <c r="I8" s="2899"/>
      <c r="J8" s="2899"/>
      <c r="K8" s="2898" t="e">
        <f>J7&amp;".1"</f>
        <v>#N/A</v>
      </c>
      <c r="L8" s="1291" t="s">
        <v>454</v>
      </c>
      <c r="M8" s="474"/>
      <c r="N8" s="1293"/>
      <c r="O8" s="1293"/>
      <c r="P8" s="2900"/>
      <c r="Q8" s="2900"/>
      <c r="R8" s="294">
        <v>1</v>
      </c>
      <c r="S8" s="1263" t="e">
        <f>$K8</f>
        <v>#N/A</v>
      </c>
      <c r="T8" s="1274"/>
      <c r="U8" s="238"/>
      <c r="V8" s="688"/>
      <c r="W8" s="263"/>
      <c r="X8" s="688"/>
      <c r="Y8" s="1184"/>
      <c r="Z8" s="2901"/>
      <c r="AA8" s="2768" t="s">
        <v>71</v>
      </c>
      <c r="AB8" s="2901"/>
      <c r="AC8" s="2768" t="s">
        <v>71</v>
      </c>
      <c r="AD8" s="688"/>
      <c r="AE8" s="263"/>
      <c r="AF8" s="688"/>
      <c r="AG8" s="1184"/>
      <c r="AH8" s="2901"/>
      <c r="AI8" s="2768" t="s">
        <v>71</v>
      </c>
      <c r="AJ8" s="2901"/>
      <c r="AK8" s="2768" t="s">
        <v>71</v>
      </c>
      <c r="AL8" s="263"/>
      <c r="AM8" s="2919" t="s">
        <v>455</v>
      </c>
      <c r="AN8" s="448" t="e">
        <f ca="1">STRCHECKDATE(V9:AL9)</f>
        <v>#NAME?</v>
      </c>
      <c r="AO8" s="437"/>
      <c r="AP8" s="437" t="str">
        <f t="shared" si="0"/>
        <v/>
      </c>
      <c r="AQ8" s="437"/>
      <c r="AR8" s="437"/>
      <c r="AS8" s="1082">
        <v>0</v>
      </c>
    </row>
    <row r="9" spans="1:45" ht="0.75" hidden="1" customHeight="1">
      <c r="A9" s="1290"/>
      <c r="B9" s="1290"/>
      <c r="C9" s="1290"/>
      <c r="D9" s="1290"/>
      <c r="E9" s="2897"/>
      <c r="F9" s="2897"/>
      <c r="G9" s="2897"/>
      <c r="H9" s="2897"/>
      <c r="I9" s="2899"/>
      <c r="J9" s="2899"/>
      <c r="K9" s="2898"/>
      <c r="L9" s="1291"/>
      <c r="M9" s="474"/>
      <c r="N9" s="1293"/>
      <c r="O9" s="1293"/>
      <c r="P9" s="2900"/>
      <c r="Q9" s="2900"/>
      <c r="R9" s="294"/>
      <c r="S9" s="1269"/>
      <c r="T9" s="238"/>
      <c r="U9" s="238"/>
      <c r="V9" s="263"/>
      <c r="W9" s="263"/>
      <c r="X9" s="263"/>
      <c r="Y9" s="266" t="str">
        <f>Z8&amp;"-"&amp;AB8</f>
        <v>-</v>
      </c>
      <c r="Z9" s="2902"/>
      <c r="AA9" s="2768"/>
      <c r="AB9" s="2902"/>
      <c r="AC9" s="2768"/>
      <c r="AD9" s="263"/>
      <c r="AE9" s="263"/>
      <c r="AF9" s="263"/>
      <c r="AG9" s="266" t="str">
        <f>AH8&amp;"-"&amp;AJ8</f>
        <v>-</v>
      </c>
      <c r="AH9" s="2902"/>
      <c r="AI9" s="2768"/>
      <c r="AJ9" s="2902"/>
      <c r="AK9" s="2768"/>
      <c r="AL9" s="263"/>
      <c r="AM9" s="2920"/>
      <c r="AO9" s="437"/>
      <c r="AP9" s="437" t="str">
        <f t="shared" si="0"/>
        <v/>
      </c>
      <c r="AQ9" s="437"/>
      <c r="AR9" s="437"/>
      <c r="AS9" s="1082">
        <v>0</v>
      </c>
    </row>
    <row r="10" spans="1:45" ht="15" hidden="1" customHeight="1">
      <c r="A10" s="1290"/>
      <c r="B10" s="1290"/>
      <c r="C10" s="1290"/>
      <c r="D10" s="1290"/>
      <c r="E10" s="2897"/>
      <c r="F10" s="2897"/>
      <c r="G10" s="2897"/>
      <c r="H10" s="2897"/>
      <c r="I10" s="2899"/>
      <c r="J10" s="2898"/>
      <c r="K10" s="1290"/>
      <c r="L10" s="1291"/>
      <c r="M10" s="474"/>
      <c r="N10" s="1293"/>
      <c r="P10" s="2900"/>
      <c r="Q10" s="2900"/>
      <c r="R10" s="293"/>
      <c r="S10" s="1205"/>
      <c r="T10" s="226" t="s">
        <v>456</v>
      </c>
      <c r="U10" s="304"/>
      <c r="V10" s="304"/>
      <c r="W10" s="304"/>
      <c r="X10" s="304"/>
      <c r="Y10" s="304"/>
      <c r="Z10" s="304"/>
      <c r="AA10" s="304"/>
      <c r="AB10" s="304"/>
      <c r="AC10" s="304"/>
      <c r="AD10" s="304"/>
      <c r="AE10" s="304"/>
      <c r="AF10" s="304"/>
      <c r="AG10" s="304"/>
      <c r="AH10" s="304"/>
      <c r="AI10" s="304"/>
      <c r="AJ10" s="304"/>
      <c r="AK10" s="304"/>
      <c r="AL10" s="262"/>
      <c r="AM10" s="292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97"/>
      <c r="F11" s="2897"/>
      <c r="G11" s="2897"/>
      <c r="H11" s="2897"/>
      <c r="I11" s="2898"/>
      <c r="J11" s="1290"/>
      <c r="K11" s="1290"/>
      <c r="L11" s="1291"/>
      <c r="M11" s="474"/>
      <c r="P11" s="2900"/>
      <c r="Q11" s="1258"/>
      <c r="R11" s="293"/>
      <c r="S11" s="1205"/>
      <c r="T11" s="225" t="s">
        <v>457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897"/>
      <c r="F12" s="2897"/>
      <c r="G12" s="2897"/>
      <c r="H12" s="2896"/>
      <c r="I12" s="1290"/>
      <c r="J12" s="1290"/>
      <c r="K12" s="1290"/>
      <c r="L12" s="1291"/>
      <c r="M12" s="1292"/>
      <c r="N12" s="1292"/>
      <c r="O12" s="474"/>
      <c r="P12" s="297"/>
      <c r="Q12" s="312"/>
      <c r="R12" s="292"/>
      <c r="S12" s="1205"/>
      <c r="T12" s="302" t="s">
        <v>458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897"/>
      <c r="F13" s="2897"/>
      <c r="G13" s="2896"/>
      <c r="H13" s="1241"/>
      <c r="I13" s="1241"/>
      <c r="J13" s="1241"/>
      <c r="K13" s="1241"/>
      <c r="L13" s="1266"/>
      <c r="M13" s="1242"/>
      <c r="N13" s="1242"/>
      <c r="P13" s="1243"/>
      <c r="Q13" s="1244"/>
      <c r="R13" s="1243"/>
      <c r="S13" s="1245"/>
      <c r="T13" s="1246" t="s">
        <v>174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97"/>
      <c r="F14" s="2896"/>
      <c r="G14" s="1241"/>
      <c r="H14" s="1241"/>
      <c r="I14" s="1241"/>
      <c r="J14" s="1241"/>
      <c r="K14" s="1241"/>
      <c r="L14" s="1266"/>
      <c r="M14" s="1248"/>
      <c r="N14" s="1248"/>
      <c r="P14" s="1243"/>
      <c r="Q14" s="1244"/>
      <c r="R14" s="1243"/>
      <c r="S14" s="1249"/>
      <c r="T14" s="1250" t="s">
        <v>176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96"/>
      <c r="F15" s="1241"/>
      <c r="G15" s="1241"/>
      <c r="H15" s="1241"/>
      <c r="I15" s="1241"/>
      <c r="J15" s="1241"/>
      <c r="K15" s="1241"/>
      <c r="L15" s="1266"/>
      <c r="M15" s="1248"/>
      <c r="N15" s="1248"/>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894"/>
      <c r="AI17" s="2893" t="s">
        <v>71</v>
      </c>
      <c r="AJ17" s="2894"/>
      <c r="AK17" s="2893" t="s">
        <v>71</v>
      </c>
      <c r="AS17" s="1082">
        <v>0</v>
      </c>
    </row>
    <row r="18" spans="1:45" ht="14.25" hidden="1" customHeight="1">
      <c r="AD18" s="1287"/>
      <c r="AE18" s="1287"/>
      <c r="AF18" s="1287"/>
      <c r="AG18" s="266" t="str">
        <f>AH17&amp;"-"&amp;AJ17</f>
        <v>-</v>
      </c>
      <c r="AH18" s="2893"/>
      <c r="AI18" s="2893"/>
      <c r="AJ18" s="2893"/>
      <c r="AK18" s="2893"/>
      <c r="AS18" s="1082">
        <v>0</v>
      </c>
    </row>
    <row r="19" spans="1:45" ht="14.25" hidden="1" customHeight="1">
      <c r="AK19" s="265"/>
      <c r="AS19" s="1082">
        <v>0</v>
      </c>
    </row>
    <row r="20" spans="1:45" s="1293" customFormat="1" ht="22.5" hidden="1" customHeight="1">
      <c r="L20" s="1256"/>
      <c r="M20" s="1289"/>
      <c r="N20" s="1289"/>
      <c r="O20" s="1294" t="s">
        <v>459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460</v>
      </c>
      <c r="P22" s="1289"/>
      <c r="Q22" s="1298"/>
      <c r="R22" s="1298"/>
      <c r="S22" s="666"/>
      <c r="T22" s="1087" t="s">
        <v>461</v>
      </c>
      <c r="AA22" s="124" t="s">
        <v>462</v>
      </c>
      <c r="AC22" s="124" t="s">
        <v>463</v>
      </c>
      <c r="AD22" s="1087" t="s">
        <v>461</v>
      </c>
      <c r="AI22" s="124" t="s">
        <v>464</v>
      </c>
      <c r="AK22" s="124" t="s">
        <v>463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15" customHeight="1">
      <c r="Q26" s="313"/>
      <c r="R26" s="313"/>
      <c r="S26" s="28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77"/>
      <c r="U26" s="2877"/>
      <c r="V26" s="2877"/>
      <c r="W26" s="2877"/>
      <c r="X26" s="2877"/>
      <c r="Y26" s="2877"/>
      <c r="Z26" s="2877"/>
      <c r="AA26" s="2877"/>
      <c r="AB26" s="2877"/>
      <c r="AC26" s="2877"/>
      <c r="AD26" s="2877"/>
      <c r="AE26" s="2877"/>
      <c r="AF26" s="2877"/>
      <c r="AG26" s="2877"/>
      <c r="AH26" s="2877"/>
      <c r="AI26" s="2877"/>
      <c r="AJ26" s="2877"/>
      <c r="AK26" s="1170"/>
      <c r="AS26" s="1082">
        <v>14</v>
      </c>
    </row>
    <row r="27" spans="1:45" ht="15" customHeight="1">
      <c r="Q27" s="313"/>
      <c r="R27" s="313"/>
      <c r="S27" s="2849" t="str">
        <f>IF(org=0,"Не определено",org)</f>
        <v>ТМУП "ТТС"</v>
      </c>
      <c r="T27" s="2849"/>
      <c r="U27" s="2849"/>
      <c r="V27" s="2849"/>
      <c r="W27" s="2849"/>
      <c r="X27" s="2849"/>
      <c r="Y27" s="2849"/>
      <c r="Z27" s="2849"/>
      <c r="AA27" s="2849"/>
      <c r="AB27" s="2849"/>
      <c r="AC27" s="2849"/>
      <c r="AD27" s="2849"/>
      <c r="AE27" s="2849"/>
      <c r="AF27" s="2849"/>
      <c r="AG27" s="2849"/>
      <c r="AH27" s="2849"/>
      <c r="AI27" s="2849"/>
      <c r="AJ27" s="284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887" t="s">
        <v>46</v>
      </c>
      <c r="T29" s="2887"/>
      <c r="U29" s="1299"/>
      <c r="V29" s="2889" t="str">
        <f>IF(TITLE_NAME_OR_PR_CHANGE="",IF(TITLE_NAME_OR_PR="","",TITLE_NAME_OR_PR),TITLE_NAME_OR_PR_CHANGE)</f>
        <v/>
      </c>
      <c r="W29" s="2889"/>
      <c r="X29" s="2889"/>
      <c r="Y29" s="2889"/>
      <c r="Z29" s="2889"/>
      <c r="AA29" s="2889"/>
      <c r="AB29" s="2889"/>
      <c r="AC29" s="264"/>
      <c r="AD29" s="2889" t="str">
        <f>IF(TITLE_NAME_OR_PR_CHANGE="",IF(TITLE_NAME_OR_PR="","",TITLE_NAME_OR_PR),TITLE_NAME_OR_PR_CHANGE)</f>
        <v/>
      </c>
      <c r="AE29" s="2889"/>
      <c r="AF29" s="2889"/>
      <c r="AG29" s="2889"/>
      <c r="AH29" s="2889"/>
      <c r="AI29" s="2889"/>
      <c r="AJ29" s="288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887" t="s">
        <v>465</v>
      </c>
      <c r="T30" s="2887"/>
      <c r="U30" s="1299"/>
      <c r="V30" s="2888" t="str">
        <f>IF(TITLE_DATE_PR_CHANGE="",IF(TITLE_DATE_PR="","",TITLE_DATE_PR),TITLE_DATE_PR_CHANGE)</f>
        <v>14.11.2024</v>
      </c>
      <c r="W30" s="2888"/>
      <c r="X30" s="2888"/>
      <c r="Y30" s="2888"/>
      <c r="Z30" s="2888"/>
      <c r="AA30" s="2888"/>
      <c r="AB30" s="2888"/>
      <c r="AC30" s="264"/>
      <c r="AD30" s="2888" t="str">
        <f>IF(TITLE_DATE_PR_CHANGE="",IF(TITLE_DATE_PR="","",TITLE_DATE_PR),TITLE_DATE_PR_CHANGE)</f>
        <v>14.11.2024</v>
      </c>
      <c r="AE30" s="2888"/>
      <c r="AF30" s="2888"/>
      <c r="AG30" s="2888"/>
      <c r="AH30" s="2888"/>
      <c r="AI30" s="2888"/>
      <c r="AJ30" s="288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887" t="s">
        <v>466</v>
      </c>
      <c r="T31" s="2887"/>
      <c r="U31" s="1299"/>
      <c r="V31" s="2889" t="str">
        <f>IF(TITLE_NUMBER_PR_CHANGE="",IF(TITLE_NUMBER_PR="","",TITLE_NUMBER_PR),TITLE_NUMBER_PR_CHANGE)</f>
        <v>947 от 12.11.2024</v>
      </c>
      <c r="W31" s="2889"/>
      <c r="X31" s="2889"/>
      <c r="Y31" s="2889"/>
      <c r="Z31" s="2889"/>
      <c r="AA31" s="2889"/>
      <c r="AB31" s="2889"/>
      <c r="AC31" s="264"/>
      <c r="AD31" s="2889" t="str">
        <f>IF(TITLE_NUMBER_PR_CHANGE="",IF(TITLE_NUMBER_PR="","",TITLE_NUMBER_PR),TITLE_NUMBER_PR_CHANGE)</f>
        <v>947 от 12.11.2024</v>
      </c>
      <c r="AE31" s="2889"/>
      <c r="AF31" s="2889"/>
      <c r="AG31" s="2889"/>
      <c r="AH31" s="2889"/>
      <c r="AI31" s="2889"/>
      <c r="AJ31" s="288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887" t="s">
        <v>47</v>
      </c>
      <c r="T32" s="2887"/>
      <c r="U32" s="1299"/>
      <c r="V32" s="2889" t="str">
        <f>IF(TITLE_IST_PUB_CHANGE="",IF(TITLE_IST_PUB="","",TITLE_IST_PUB),TITLE_IST_PUB_CHANGE)</f>
        <v/>
      </c>
      <c r="W32" s="2889"/>
      <c r="X32" s="2889"/>
      <c r="Y32" s="2889"/>
      <c r="Z32" s="2889"/>
      <c r="AA32" s="2889"/>
      <c r="AB32" s="2889"/>
      <c r="AC32" s="264"/>
      <c r="AD32" s="2889" t="str">
        <f>IF(TITLE_IST_PUB_CHANGE="",IF(TITLE_IST_PUB="","",TITLE_IST_PUB),TITLE_IST_PUB_CHANGE)</f>
        <v/>
      </c>
      <c r="AE32" s="2889"/>
      <c r="AF32" s="2889"/>
      <c r="AG32" s="2889"/>
      <c r="AH32" s="2889"/>
      <c r="AI32" s="2889"/>
      <c r="AJ32" s="2889"/>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887" t="s">
        <v>467</v>
      </c>
      <c r="T34" s="2887"/>
      <c r="U34" s="1299"/>
      <c r="V34" s="2888" t="str">
        <f>IF(TITLE_DATE_PR_CHANGE="",IF(TITLE_DATE_PR="","",TITLE_DATE_PR),TITLE_DATE_PR_CHANGE)</f>
        <v>14.11.2024</v>
      </c>
      <c r="W34" s="2888"/>
      <c r="X34" s="2888"/>
      <c r="Y34" s="2888"/>
      <c r="Z34" s="2888"/>
      <c r="AA34" s="2888"/>
      <c r="AB34" s="2888"/>
      <c r="AC34" s="264"/>
      <c r="AD34" s="2888" t="str">
        <f>IF(TITLE_DATE_PR_CHANGE="",IF(TITLE_DATE_PR="","",TITLE_DATE_PR),TITLE_DATE_PR_CHANGE)</f>
        <v>14.11.2024</v>
      </c>
      <c r="AE34" s="2888"/>
      <c r="AF34" s="2888"/>
      <c r="AG34" s="2888"/>
      <c r="AH34" s="2888"/>
      <c r="AI34" s="2888"/>
      <c r="AJ34" s="2888"/>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887" t="s">
        <v>468</v>
      </c>
      <c r="T35" s="2887"/>
      <c r="U35" s="1299"/>
      <c r="V35" s="2889" t="str">
        <f>IF(TITLE_NUMBER_PR_CHANGE="",IF(TITLE_NUMBER_PR="","",TITLE_NUMBER_PR),TITLE_NUMBER_PR_CHANGE)</f>
        <v>947 от 12.11.2024</v>
      </c>
      <c r="W35" s="2889"/>
      <c r="X35" s="2889"/>
      <c r="Y35" s="2889"/>
      <c r="Z35" s="2889"/>
      <c r="AA35" s="2889"/>
      <c r="AB35" s="2889"/>
      <c r="AC35" s="264"/>
      <c r="AD35" s="2889" t="str">
        <f>IF(TITLE_NUMBER_PR_CHANGE="",IF(TITLE_NUMBER_PR="","",TITLE_NUMBER_PR),TITLE_NUMBER_PR_CHANGE)</f>
        <v>947 от 12.11.2024</v>
      </c>
      <c r="AE35" s="2889"/>
      <c r="AF35" s="2889"/>
      <c r="AG35" s="2889"/>
      <c r="AH35" s="2889"/>
      <c r="AI35" s="2889"/>
      <c r="AJ35" s="288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469</v>
      </c>
      <c r="AD36" s="264"/>
      <c r="AE36" s="264"/>
      <c r="AF36" s="264"/>
      <c r="AG36" s="264"/>
      <c r="AH36" s="264"/>
      <c r="AI36" s="264"/>
      <c r="AJ36" s="264"/>
      <c r="AK36" s="216" t="s">
        <v>469</v>
      </c>
      <c r="AN36" s="305"/>
      <c r="AO36" s="305"/>
      <c r="AP36" s="305"/>
      <c r="AQ36" s="305"/>
      <c r="AR36" s="305"/>
      <c r="AS36" s="355">
        <v>0</v>
      </c>
    </row>
    <row r="37" spans="1:45" ht="15" customHeight="1">
      <c r="Q37" s="313"/>
      <c r="R37" s="313"/>
      <c r="S37" s="1202"/>
      <c r="T37" s="300"/>
      <c r="U37" s="1171"/>
      <c r="V37" s="2908"/>
      <c r="W37" s="2908"/>
      <c r="X37" s="2908"/>
      <c r="Y37" s="2908"/>
      <c r="Z37" s="2908"/>
      <c r="AA37" s="2908"/>
      <c r="AB37" s="2908"/>
      <c r="AC37" s="2908"/>
      <c r="AD37" s="2908"/>
      <c r="AE37" s="2908"/>
      <c r="AF37" s="2908"/>
      <c r="AG37" s="2908"/>
      <c r="AH37" s="2908"/>
      <c r="AI37" s="2908"/>
      <c r="AJ37" s="2908"/>
      <c r="AK37" s="2908"/>
      <c r="AS37" s="1082">
        <v>14</v>
      </c>
    </row>
    <row r="38" spans="1:45" ht="15" customHeight="1">
      <c r="Q38" s="313"/>
      <c r="R38" s="313"/>
      <c r="S38" s="2758" t="s">
        <v>345</v>
      </c>
      <c r="T38" s="2758"/>
      <c r="U38" s="2758"/>
      <c r="V38" s="2758"/>
      <c r="W38" s="2758"/>
      <c r="X38" s="2758"/>
      <c r="Y38" s="2758"/>
      <c r="Z38" s="2758"/>
      <c r="AA38" s="2758"/>
      <c r="AB38" s="2758"/>
      <c r="AC38" s="2758"/>
      <c r="AD38" s="2758"/>
      <c r="AE38" s="2758"/>
      <c r="AF38" s="2758"/>
      <c r="AG38" s="2758"/>
      <c r="AH38" s="2758"/>
      <c r="AI38" s="2758"/>
      <c r="AJ38" s="2758"/>
      <c r="AK38" s="2758"/>
      <c r="AL38" s="2758"/>
      <c r="AM38" s="2758" t="s">
        <v>346</v>
      </c>
      <c r="AS38" s="1082">
        <v>14</v>
      </c>
    </row>
    <row r="39" spans="1:45" ht="15" customHeight="1">
      <c r="Q39" s="313"/>
      <c r="R39" s="313"/>
      <c r="S39" s="2909" t="s">
        <v>93</v>
      </c>
      <c r="T39" s="2857" t="s">
        <v>470</v>
      </c>
      <c r="U39" s="239"/>
      <c r="V39" s="2910" t="s">
        <v>471</v>
      </c>
      <c r="W39" s="2911"/>
      <c r="X39" s="2911"/>
      <c r="Y39" s="2911"/>
      <c r="Z39" s="2911"/>
      <c r="AA39" s="2911"/>
      <c r="AB39" s="2912"/>
      <c r="AC39" s="2913" t="s">
        <v>472</v>
      </c>
      <c r="AD39" s="2910" t="s">
        <v>471</v>
      </c>
      <c r="AE39" s="2911"/>
      <c r="AF39" s="2911"/>
      <c r="AG39" s="2911"/>
      <c r="AH39" s="2911"/>
      <c r="AI39" s="2911"/>
      <c r="AJ39" s="2912"/>
      <c r="AK39" s="2913" t="s">
        <v>473</v>
      </c>
      <c r="AL39" s="2916" t="s">
        <v>474</v>
      </c>
      <c r="AM39" s="2758"/>
      <c r="AS39" s="1082">
        <v>14</v>
      </c>
    </row>
    <row r="40" spans="1:45" ht="36" customHeight="1">
      <c r="Q40" s="313"/>
      <c r="R40" s="313"/>
      <c r="S40" s="2909"/>
      <c r="T40" s="2857"/>
      <c r="U40" s="961"/>
      <c r="V40" s="2829" t="s">
        <v>475</v>
      </c>
      <c r="W40" s="2905" t="s">
        <v>476</v>
      </c>
      <c r="X40" s="2740" t="s">
        <v>477</v>
      </c>
      <c r="Y40" s="2739"/>
      <c r="Z40" s="2740" t="s">
        <v>490</v>
      </c>
      <c r="AA40" s="2745"/>
      <c r="AB40" s="2739"/>
      <c r="AC40" s="2914"/>
      <c r="AD40" s="2829" t="s">
        <v>475</v>
      </c>
      <c r="AE40" s="2905" t="s">
        <v>476</v>
      </c>
      <c r="AF40" s="2740" t="s">
        <v>477</v>
      </c>
      <c r="AG40" s="2739"/>
      <c r="AH40" s="2740" t="s">
        <v>478</v>
      </c>
      <c r="AI40" s="2745"/>
      <c r="AJ40" s="2739"/>
      <c r="AK40" s="2914"/>
      <c r="AL40" s="2917"/>
      <c r="AM40" s="2758"/>
      <c r="AS40" s="1082">
        <v>34</v>
      </c>
    </row>
    <row r="41" spans="1:45" ht="36" customHeight="1">
      <c r="A41" s="1297"/>
      <c r="B41" s="1297" t="s">
        <v>140</v>
      </c>
      <c r="C41" s="1297" t="s">
        <v>141</v>
      </c>
      <c r="D41" s="1297" t="s">
        <v>142</v>
      </c>
      <c r="E41" s="1291" t="s">
        <v>479</v>
      </c>
      <c r="F41" s="1291" t="s">
        <v>480</v>
      </c>
      <c r="G41" s="1291" t="s">
        <v>481</v>
      </c>
      <c r="H41" s="1291" t="s">
        <v>482</v>
      </c>
      <c r="I41" s="1291" t="s">
        <v>483</v>
      </c>
      <c r="J41" s="1291" t="s">
        <v>484</v>
      </c>
      <c r="K41" s="1291" t="s">
        <v>485</v>
      </c>
      <c r="L41" s="1291" t="s">
        <v>460</v>
      </c>
      <c r="Q41" s="313"/>
      <c r="R41" s="313"/>
      <c r="S41" s="2909"/>
      <c r="T41" s="2857"/>
      <c r="U41" s="240"/>
      <c r="V41" s="2882"/>
      <c r="W41" s="2906"/>
      <c r="X41" s="1149" t="s">
        <v>486</v>
      </c>
      <c r="Y41" s="1149" t="s">
        <v>487</v>
      </c>
      <c r="Z41" s="1265" t="s">
        <v>488</v>
      </c>
      <c r="AA41" s="2862" t="s">
        <v>489</v>
      </c>
      <c r="AB41" s="2876"/>
      <c r="AC41" s="2915"/>
      <c r="AD41" s="2882"/>
      <c r="AE41" s="2906"/>
      <c r="AF41" s="1149" t="s">
        <v>486</v>
      </c>
      <c r="AG41" s="1149" t="s">
        <v>487</v>
      </c>
      <c r="AH41" s="1265" t="s">
        <v>488</v>
      </c>
      <c r="AI41" s="2862" t="s">
        <v>489</v>
      </c>
      <c r="AJ41" s="2876"/>
      <c r="AK41" s="2915"/>
      <c r="AL41" s="2918"/>
      <c r="AM41" s="275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114</v>
      </c>
      <c r="T42" s="1182" t="s">
        <v>115</v>
      </c>
      <c r="U42" s="1172" t="str">
        <f ca="1">OFFSET(U42,0,-1)</f>
        <v>2</v>
      </c>
      <c r="V42" s="1262">
        <f ca="1">OFFSET(V42,0,-1)+1</f>
        <v>3</v>
      </c>
      <c r="W42" s="1262"/>
      <c r="X42" s="1262">
        <f ca="1">OFFSET(X42,0,-1)+1</f>
        <v>1</v>
      </c>
      <c r="Y42" s="1262">
        <f ca="1">OFFSET(Y42,0,-1)+1</f>
        <v>2</v>
      </c>
      <c r="Z42" s="1262">
        <f ca="1">OFFSET(Z42,0,-1)+1</f>
        <v>3</v>
      </c>
      <c r="AA42" s="2907">
        <f ca="1">OFFSET(AA42,0,-1)+1</f>
        <v>4</v>
      </c>
      <c r="AB42" s="2907"/>
      <c r="AC42" s="1262">
        <f ca="1">OFFSET(AC42,0,-2)+1</f>
        <v>5</v>
      </c>
      <c r="AD42" s="1262">
        <f ca="1">OFFSET(AD42,0,-1)+1</f>
        <v>6</v>
      </c>
      <c r="AE42" s="1262"/>
      <c r="AF42" s="1262">
        <f ca="1">OFFSET(AF42,0,-1)+1</f>
        <v>1</v>
      </c>
      <c r="AG42" s="1262">
        <f ca="1">OFFSET(AG42,0,-1)+1</f>
        <v>2</v>
      </c>
      <c r="AH42" s="1262">
        <f ca="1">OFFSET(AH42,0,-1)+1</f>
        <v>3</v>
      </c>
      <c r="AI42" s="2907">
        <f ca="1">OFFSET(AI42,0,-1)+1</f>
        <v>4</v>
      </c>
      <c r="AJ42" s="2907"/>
      <c r="AK42" s="1262">
        <f ca="1">OFFSET(AK42,0,-2)+1</f>
        <v>5</v>
      </c>
      <c r="AL42" s="1172">
        <f ca="1">OFFSET(AL42,0,-1)</f>
        <v>5</v>
      </c>
      <c r="AM42" s="1262">
        <f ca="1">OFFSET(AM42,0,-1)+1</f>
        <v>6</v>
      </c>
      <c r="AN42" s="448"/>
      <c r="AO42" s="448"/>
      <c r="AP42" s="448"/>
      <c r="AQ42" s="448"/>
      <c r="AR42" s="448"/>
      <c r="AS42" s="433">
        <v>0</v>
      </c>
    </row>
    <row r="43" spans="1:45" ht="54.75" customHeight="1">
      <c r="A43" s="1290" t="s">
        <v>169</v>
      </c>
      <c r="B43" s="1290"/>
      <c r="C43" s="1290"/>
      <c r="D43" s="1290"/>
      <c r="E43" s="2896">
        <v>1</v>
      </c>
      <c r="F43" s="1290"/>
      <c r="G43" s="1290"/>
      <c r="H43" s="1290"/>
      <c r="I43" s="1290"/>
      <c r="J43" s="1290"/>
      <c r="K43" s="1290"/>
      <c r="L43" s="1291"/>
      <c r="M43" s="1292"/>
      <c r="N43" s="1292"/>
      <c r="O43" s="1292"/>
      <c r="P43" s="298"/>
      <c r="Q43" s="297"/>
      <c r="R43" s="292"/>
      <c r="S43" s="1263">
        <f>INDEX(PT_DIFFERENTIATION_NUM_NTAR,MATCH(A43,PT_DIFFERENTIATION_NTAR_ID,0))</f>
        <v>1</v>
      </c>
      <c r="T43" s="236" t="s">
        <v>128</v>
      </c>
      <c r="U43" s="238"/>
      <c r="V43" s="2890"/>
      <c r="W43" s="2891"/>
      <c r="X43" s="2891"/>
      <c r="Y43" s="2891"/>
      <c r="Z43" s="2891"/>
      <c r="AA43" s="2891"/>
      <c r="AB43" s="2891"/>
      <c r="AC43" s="2892"/>
      <c r="AD43" s="2890" t="str">
        <f>INDEX(PT_DIFFERENTIATION_NTAR,MATCH(A43,PT_DIFFERENTIATION_NTAR_ID,0))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AE43" s="2891"/>
      <c r="AF43" s="2891"/>
      <c r="AG43" s="2891"/>
      <c r="AH43" s="2891"/>
      <c r="AI43" s="2891"/>
      <c r="AJ43" s="2891"/>
      <c r="AK43" s="2891"/>
      <c r="AL43" s="289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74" si="1">IF(T43="","",T43)</f>
        <v>Наименование тарифа</v>
      </c>
      <c r="AQ43" s="437"/>
      <c r="AR43" s="437"/>
      <c r="AS43" s="1082">
        <v>21</v>
      </c>
    </row>
    <row r="44" spans="1:45" ht="21.75" customHeight="1">
      <c r="A44" s="1290" t="s">
        <v>169</v>
      </c>
      <c r="B44" s="1290" t="s">
        <v>170</v>
      </c>
      <c r="C44" s="1290"/>
      <c r="D44" s="1290"/>
      <c r="E44" s="2897"/>
      <c r="F44" s="2896">
        <v>1</v>
      </c>
      <c r="G44" s="1290"/>
      <c r="H44" s="1290"/>
      <c r="I44" s="1290"/>
      <c r="J44" s="1290"/>
      <c r="K44" s="1290"/>
      <c r="L44" s="1291"/>
      <c r="M44" s="1292"/>
      <c r="N44" s="1292"/>
      <c r="O44" s="1292"/>
      <c r="P44" s="1259"/>
      <c r="Q44" s="289"/>
      <c r="R44" s="290"/>
      <c r="S44" s="1263" t="str">
        <f>INDEX(PT_DIFFERENTIATION_NUM_TER,MATCH(B44,PT_DIFFERENTIATION_TER_ID,0))</f>
        <v>1.1</v>
      </c>
      <c r="T44" s="246" t="s">
        <v>442</v>
      </c>
      <c r="U44" s="238"/>
      <c r="V44" s="2890"/>
      <c r="W44" s="2891"/>
      <c r="X44" s="2891"/>
      <c r="Y44" s="2891"/>
      <c r="Z44" s="2891"/>
      <c r="AA44" s="2891"/>
      <c r="AB44" s="2891"/>
      <c r="AC44" s="2892"/>
      <c r="AD44" s="2890" t="str">
        <f>INDEX(PT_DIFFERENTIATION_TER,MATCH(B44,PT_DIFFERENTIATION_TER_ID,0))</f>
        <v>без дифференциации</v>
      </c>
      <c r="AE44" s="2891"/>
      <c r="AF44" s="2891"/>
      <c r="AG44" s="2891"/>
      <c r="AH44" s="2891"/>
      <c r="AI44" s="2891"/>
      <c r="AJ44" s="2891"/>
      <c r="AK44" s="2891"/>
      <c r="AL44" s="2892"/>
      <c r="AM44" s="1185" t="s">
        <v>443</v>
      </c>
      <c r="AO44" s="437"/>
      <c r="AP44" s="437" t="str">
        <f t="shared" si="1"/>
        <v>Территория действия тарифа</v>
      </c>
      <c r="AQ44" s="437"/>
      <c r="AR44" s="437"/>
      <c r="AS44" s="1082">
        <v>21</v>
      </c>
    </row>
    <row r="45" spans="1:45" ht="24" customHeight="1">
      <c r="A45" s="1290" t="s">
        <v>169</v>
      </c>
      <c r="B45" s="1290" t="s">
        <v>170</v>
      </c>
      <c r="C45" s="1290" t="s">
        <v>171</v>
      </c>
      <c r="D45" s="1290"/>
      <c r="E45" s="2897"/>
      <c r="F45" s="2897"/>
      <c r="G45" s="2896">
        <v>1</v>
      </c>
      <c r="H45" s="1290"/>
      <c r="I45" s="1290"/>
      <c r="J45" s="1290"/>
      <c r="K45" s="1290"/>
      <c r="L45" s="1291"/>
      <c r="M45" s="1292"/>
      <c r="N45" s="1292"/>
      <c r="O45" s="1292"/>
      <c r="P45" s="291"/>
      <c r="Q45" s="289"/>
      <c r="R45" s="290"/>
      <c r="S45" s="1263" t="str">
        <f>INDEX(PT_DIFFERENTIATION_NUM_CS,MATCH(C45,PT_DIFFERENTIATION_CS_ID,0))</f>
        <v>1.1.1</v>
      </c>
      <c r="T45" s="247" t="s">
        <v>444</v>
      </c>
      <c r="U45" s="238"/>
      <c r="V45" s="2890"/>
      <c r="W45" s="2891"/>
      <c r="X45" s="2891"/>
      <c r="Y45" s="2891"/>
      <c r="Z45" s="2891"/>
      <c r="AA45" s="2891"/>
      <c r="AB45" s="2891"/>
      <c r="AC45" s="2892"/>
      <c r="AD45" s="2890" t="str">
        <f>INDEX(PT_DIFFERENTIATION_CS,MATCH(C45,PT_DIFFERENTIATION_CS_ID,0))</f>
        <v>без дифференциации</v>
      </c>
      <c r="AE45" s="2891"/>
      <c r="AF45" s="2891"/>
      <c r="AG45" s="2891"/>
      <c r="AH45" s="2891"/>
      <c r="AI45" s="2891"/>
      <c r="AJ45" s="2891"/>
      <c r="AK45" s="2891"/>
      <c r="AL45" s="2892"/>
      <c r="AM45" s="1185" t="s">
        <v>445</v>
      </c>
      <c r="AO45" s="437"/>
      <c r="AP45" s="437" t="str">
        <f t="shared" si="1"/>
        <v xml:space="preserve">Наименование системы теплоснабжения </v>
      </c>
      <c r="AQ45" s="437"/>
      <c r="AR45" s="437"/>
      <c r="AS45" s="1082">
        <v>23</v>
      </c>
    </row>
    <row r="46" spans="1:45" ht="21.75" customHeight="1">
      <c r="A46" s="1290" t="s">
        <v>169</v>
      </c>
      <c r="B46" s="1290" t="s">
        <v>170</v>
      </c>
      <c r="C46" s="1290" t="s">
        <v>171</v>
      </c>
      <c r="D46" s="1290" t="s">
        <v>172</v>
      </c>
      <c r="E46" s="2897"/>
      <c r="F46" s="2897"/>
      <c r="G46" s="2897"/>
      <c r="H46" s="2896">
        <v>1</v>
      </c>
      <c r="I46" s="1290"/>
      <c r="J46" s="1290"/>
      <c r="K46" s="1290"/>
      <c r="L46" s="1291"/>
      <c r="M46" s="1292"/>
      <c r="N46" s="1292"/>
      <c r="O46" s="1292"/>
      <c r="P46" s="291"/>
      <c r="Q46" s="289"/>
      <c r="R46" s="290"/>
      <c r="S46" s="1263" t="str">
        <f>INDEX(PT_DIFFERENTIATION_NUM_IST_TE,MATCH(D46,PT_DIFFERENTIATION_IST_TE_ID,0))</f>
        <v>1.1.1.1</v>
      </c>
      <c r="T46" s="248" t="s">
        <v>446</v>
      </c>
      <c r="U46" s="238"/>
      <c r="V46" s="2890"/>
      <c r="W46" s="2891"/>
      <c r="X46" s="2891"/>
      <c r="Y46" s="2891"/>
      <c r="Z46" s="2891"/>
      <c r="AA46" s="2891"/>
      <c r="AB46" s="2891"/>
      <c r="AC46" s="2892"/>
      <c r="AD46" s="2890" t="str">
        <f>INDEX(PT_DIFFERENTIATION_IST_TE,MATCH(D46,PT_DIFFERENTIATION_IST_TE_ID,0))</f>
        <v>без дифференциации</v>
      </c>
      <c r="AE46" s="2891"/>
      <c r="AF46" s="2891"/>
      <c r="AG46" s="2891"/>
      <c r="AH46" s="2891"/>
      <c r="AI46" s="2891"/>
      <c r="AJ46" s="2891"/>
      <c r="AK46" s="2891"/>
      <c r="AL46" s="2892"/>
      <c r="AM46" s="1185" t="s">
        <v>447</v>
      </c>
      <c r="AO46" s="437"/>
      <c r="AP46" s="437" t="str">
        <f t="shared" si="1"/>
        <v xml:space="preserve">Источник тепловой энергии  </v>
      </c>
      <c r="AQ46" s="437"/>
      <c r="AR46" s="437"/>
      <c r="AS46" s="1082">
        <v>21</v>
      </c>
    </row>
    <row r="47" spans="1:45" ht="97.5" customHeight="1">
      <c r="A47" s="1290" t="s">
        <v>169</v>
      </c>
      <c r="B47" s="1290" t="s">
        <v>170</v>
      </c>
      <c r="C47" s="1290" t="s">
        <v>171</v>
      </c>
      <c r="D47" s="1290" t="s">
        <v>172</v>
      </c>
      <c r="E47" s="2897"/>
      <c r="F47" s="2897"/>
      <c r="G47" s="2897"/>
      <c r="H47" s="2897"/>
      <c r="I47" s="2898" t="str">
        <f>S46&amp;".1"</f>
        <v>1.1.1.1.1</v>
      </c>
      <c r="J47" s="1290"/>
      <c r="K47" s="1290"/>
      <c r="L47" s="1291" t="s">
        <v>448</v>
      </c>
      <c r="P47" s="2900">
        <v>1</v>
      </c>
      <c r="Q47" s="1258"/>
      <c r="R47" s="293"/>
      <c r="S47" s="1263" t="str">
        <f>$I47</f>
        <v>1.1.1.1.1</v>
      </c>
      <c r="T47" s="223" t="s">
        <v>449</v>
      </c>
      <c r="U47" s="238"/>
      <c r="V47" s="2884"/>
      <c r="W47" s="2885"/>
      <c r="X47" s="2885"/>
      <c r="Y47" s="2885"/>
      <c r="Z47" s="2885"/>
      <c r="AA47" s="2885"/>
      <c r="AB47" s="2885"/>
      <c r="AC47" s="2886"/>
      <c r="AD47" s="2884" t="s">
        <v>491</v>
      </c>
      <c r="AE47" s="2885"/>
      <c r="AF47" s="2885"/>
      <c r="AG47" s="2885"/>
      <c r="AH47" s="2885"/>
      <c r="AI47" s="2885"/>
      <c r="AJ47" s="2885"/>
      <c r="AK47" s="2885"/>
      <c r="AL47" s="2886"/>
      <c r="AM47" s="1185" t="s">
        <v>450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86.25" customHeight="1">
      <c r="A48" s="1290" t="s">
        <v>169</v>
      </c>
      <c r="B48" s="1290" t="s">
        <v>170</v>
      </c>
      <c r="C48" s="1290" t="s">
        <v>171</v>
      </c>
      <c r="D48" s="1290" t="s">
        <v>172</v>
      </c>
      <c r="E48" s="2897"/>
      <c r="F48" s="2897"/>
      <c r="G48" s="2897"/>
      <c r="H48" s="2897"/>
      <c r="I48" s="2899"/>
      <c r="J48" s="2898" t="str">
        <f>I47&amp;".1"</f>
        <v>1.1.1.1.1.1</v>
      </c>
      <c r="K48" s="1290"/>
      <c r="L48" s="1291" t="s">
        <v>451</v>
      </c>
      <c r="P48" s="2900"/>
      <c r="Q48" s="2900">
        <v>1</v>
      </c>
      <c r="R48" s="294"/>
      <c r="S48" s="1263" t="str">
        <f>$J48</f>
        <v>1.1.1.1.1.1</v>
      </c>
      <c r="T48" s="224" t="s">
        <v>452</v>
      </c>
      <c r="U48" s="238"/>
      <c r="V48" s="2884"/>
      <c r="W48" s="2885"/>
      <c r="X48" s="2885"/>
      <c r="Y48" s="2885"/>
      <c r="Z48" s="2885"/>
      <c r="AA48" s="2885"/>
      <c r="AB48" s="2885"/>
      <c r="AC48" s="2886"/>
      <c r="AD48" s="2884" t="s">
        <v>492</v>
      </c>
      <c r="AE48" s="2885"/>
      <c r="AF48" s="2885"/>
      <c r="AG48" s="2885"/>
      <c r="AH48" s="2885"/>
      <c r="AI48" s="2885"/>
      <c r="AJ48" s="2885"/>
      <c r="AK48" s="2885"/>
      <c r="AL48" s="2886"/>
      <c r="AM48" s="1185" t="s">
        <v>453</v>
      </c>
      <c r="AO48" s="437"/>
      <c r="AP48" s="437" t="str">
        <f t="shared" si="1"/>
        <v>Группа потребителей</v>
      </c>
      <c r="AQ48" s="437"/>
      <c r="AR48" s="437"/>
      <c r="AS48" s="1082">
        <v>21</v>
      </c>
    </row>
    <row r="49" spans="1:45" ht="21.75" customHeight="1">
      <c r="A49" s="1290" t="s">
        <v>169</v>
      </c>
      <c r="B49" s="1290" t="s">
        <v>170</v>
      </c>
      <c r="C49" s="1290" t="s">
        <v>171</v>
      </c>
      <c r="D49" s="1290" t="s">
        <v>172</v>
      </c>
      <c r="E49" s="2897"/>
      <c r="F49" s="2897"/>
      <c r="G49" s="2897"/>
      <c r="H49" s="2897"/>
      <c r="I49" s="2899"/>
      <c r="J49" s="2899"/>
      <c r="K49" s="2898" t="str">
        <f>J48&amp;".1"</f>
        <v>1.1.1.1.1.1.1</v>
      </c>
      <c r="L49" s="1291" t="s">
        <v>454</v>
      </c>
      <c r="P49" s="2900"/>
      <c r="Q49" s="2900"/>
      <c r="R49" s="294">
        <v>1</v>
      </c>
      <c r="S49" s="1263" t="str">
        <f>$K49</f>
        <v>1.1.1.1.1.1.1</v>
      </c>
      <c r="T49" s="1274" t="s">
        <v>493</v>
      </c>
      <c r="U49" s="238"/>
      <c r="V49" s="688"/>
      <c r="W49" s="263"/>
      <c r="X49" s="688"/>
      <c r="Y49" s="1184"/>
      <c r="Z49" s="2901"/>
      <c r="AA49" s="2768" t="s">
        <v>71</v>
      </c>
      <c r="AB49" s="2901"/>
      <c r="AC49" s="2768" t="s">
        <v>71</v>
      </c>
      <c r="AD49" s="688">
        <v>4388.3599999999997</v>
      </c>
      <c r="AE49" s="263"/>
      <c r="AF49" s="688"/>
      <c r="AG49" s="1184"/>
      <c r="AH49" s="2901" t="s">
        <v>22</v>
      </c>
      <c r="AI49" s="2768" t="s">
        <v>71</v>
      </c>
      <c r="AJ49" s="2903" t="s">
        <v>26</v>
      </c>
      <c r="AK49" s="2768" t="s">
        <v>71</v>
      </c>
      <c r="AL49" s="1275"/>
      <c r="AM49" s="2919" t="s">
        <v>455</v>
      </c>
      <c r="AN49" s="448" t="e">
        <f ca="1">STRCHECKDATE(V50:AL50)</f>
        <v>#NAME?</v>
      </c>
      <c r="AO49" s="437"/>
      <c r="AP49" s="437" t="str">
        <f t="shared" si="1"/>
        <v>вода</v>
      </c>
      <c r="AQ49" s="437"/>
      <c r="AR49" s="437"/>
      <c r="AS49" s="1082">
        <v>21</v>
      </c>
    </row>
    <row r="50" spans="1:45" ht="0.75" customHeight="1">
      <c r="A50" s="1290" t="s">
        <v>169</v>
      </c>
      <c r="B50" s="1290" t="s">
        <v>170</v>
      </c>
      <c r="C50" s="1290" t="s">
        <v>171</v>
      </c>
      <c r="D50" s="1290" t="s">
        <v>172</v>
      </c>
      <c r="E50" s="2897"/>
      <c r="F50" s="2897"/>
      <c r="G50" s="2897"/>
      <c r="H50" s="2897"/>
      <c r="I50" s="2899"/>
      <c r="J50" s="2899"/>
      <c r="K50" s="2898"/>
      <c r="L50" s="1291"/>
      <c r="P50" s="2900"/>
      <c r="Q50" s="2900"/>
      <c r="R50" s="294"/>
      <c r="S50" s="1269"/>
      <c r="T50" s="238"/>
      <c r="U50" s="238"/>
      <c r="V50" s="263"/>
      <c r="W50" s="263"/>
      <c r="X50" s="263"/>
      <c r="Y50" s="266" t="str">
        <f>Z49&amp;"-"&amp;AB49</f>
        <v>-</v>
      </c>
      <c r="Z50" s="2902"/>
      <c r="AA50" s="2768"/>
      <c r="AB50" s="2902"/>
      <c r="AC50" s="2768"/>
      <c r="AD50" s="263"/>
      <c r="AE50" s="263"/>
      <c r="AF50" s="263"/>
      <c r="AG50" s="266" t="str">
        <f>AH49&amp;"-"&amp;AJ49</f>
        <v>01.01.2025-31.12.2025</v>
      </c>
      <c r="AH50" s="2902"/>
      <c r="AI50" s="2768"/>
      <c r="AJ50" s="2904"/>
      <c r="AK50" s="2768"/>
      <c r="AL50" s="1276"/>
      <c r="AM50" s="2920"/>
      <c r="AO50" s="437"/>
      <c r="AP50" s="437" t="str">
        <f t="shared" si="1"/>
        <v/>
      </c>
      <c r="AQ50" s="437"/>
      <c r="AR50" s="437"/>
      <c r="AS50" s="1082">
        <v>1</v>
      </c>
    </row>
    <row r="51" spans="1:45" ht="51" customHeight="1">
      <c r="A51" s="1290" t="s">
        <v>169</v>
      </c>
      <c r="B51" s="1290" t="s">
        <v>170</v>
      </c>
      <c r="C51" s="1290" t="s">
        <v>171</v>
      </c>
      <c r="D51" s="1290" t="s">
        <v>172</v>
      </c>
      <c r="E51" s="2897"/>
      <c r="F51" s="2897"/>
      <c r="G51" s="2897"/>
      <c r="H51" s="2897"/>
      <c r="I51" s="2899"/>
      <c r="J51" s="2898"/>
      <c r="K51" s="1290"/>
      <c r="L51" s="1291"/>
      <c r="P51" s="2900"/>
      <c r="Q51" s="2900"/>
      <c r="R51" s="293"/>
      <c r="S51" s="1205"/>
      <c r="T51" s="226" t="s">
        <v>456</v>
      </c>
      <c r="U51" s="304"/>
      <c r="V51" s="304"/>
      <c r="W51" s="304"/>
      <c r="X51" s="304"/>
      <c r="Y51" s="304"/>
      <c r="Z51" s="304"/>
      <c r="AA51" s="304"/>
      <c r="AB51" s="304"/>
      <c r="AC51" s="304"/>
      <c r="AD51" s="304"/>
      <c r="AE51" s="304"/>
      <c r="AF51" s="304"/>
      <c r="AG51" s="304"/>
      <c r="AH51" s="304"/>
      <c r="AI51" s="304"/>
      <c r="AJ51" s="304"/>
      <c r="AK51" s="304"/>
      <c r="AL51" s="262"/>
      <c r="AM51" s="2921"/>
      <c r="AO51" s="437"/>
      <c r="AP51" s="437" t="str">
        <f t="shared" si="1"/>
        <v>Добавить вид теплоносителя (параметры теплоносителя)</v>
      </c>
      <c r="AQ51" s="437"/>
      <c r="AR51" s="437"/>
      <c r="AS51" s="1082">
        <v>11</v>
      </c>
    </row>
    <row r="52" spans="1:45" ht="11.25" customHeight="1">
      <c r="A52" s="1290" t="s">
        <v>169</v>
      </c>
      <c r="B52" s="1290" t="s">
        <v>170</v>
      </c>
      <c r="C52" s="1290" t="s">
        <v>171</v>
      </c>
      <c r="D52" s="1290" t="s">
        <v>172</v>
      </c>
      <c r="E52" s="2897"/>
      <c r="F52" s="2897"/>
      <c r="G52" s="2897"/>
      <c r="H52" s="2897"/>
      <c r="I52" s="2898"/>
      <c r="J52" s="1290"/>
      <c r="K52" s="1290"/>
      <c r="L52" s="1291"/>
      <c r="P52" s="2900"/>
      <c r="Q52" s="1258"/>
      <c r="R52" s="293"/>
      <c r="S52" s="1205"/>
      <c r="T52" s="225" t="s">
        <v>457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5" customHeight="1">
      <c r="A53" s="1290" t="s">
        <v>169</v>
      </c>
      <c r="B53" s="1290" t="s">
        <v>170</v>
      </c>
      <c r="C53" s="1290" t="s">
        <v>171</v>
      </c>
      <c r="D53" s="1290" t="s">
        <v>172</v>
      </c>
      <c r="E53" s="2897"/>
      <c r="F53" s="2897"/>
      <c r="G53" s="2897"/>
      <c r="H53" s="2896"/>
      <c r="I53" s="1290"/>
      <c r="J53" s="1290"/>
      <c r="K53" s="1290"/>
      <c r="L53" s="1291"/>
      <c r="M53" s="1292"/>
      <c r="N53" s="1292"/>
      <c r="O53" s="474"/>
      <c r="P53" s="297"/>
      <c r="Q53" s="312"/>
      <c r="R53" s="292"/>
      <c r="S53" s="1205"/>
      <c r="T53" s="302" t="s">
        <v>458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0.75" customHeight="1">
      <c r="A54" s="1270" t="s">
        <v>169</v>
      </c>
      <c r="B54" s="1270" t="s">
        <v>170</v>
      </c>
      <c r="C54" s="1270" t="s">
        <v>171</v>
      </c>
      <c r="D54" s="1241"/>
      <c r="E54" s="2897"/>
      <c r="F54" s="2897"/>
      <c r="G54" s="2896"/>
      <c r="H54" s="1241"/>
      <c r="I54" s="1241"/>
      <c r="J54" s="1241"/>
      <c r="K54" s="1241"/>
      <c r="L54" s="1266"/>
      <c r="M54" s="1242"/>
      <c r="N54" s="1242"/>
      <c r="P54" s="1243"/>
      <c r="Q54" s="1244"/>
      <c r="R54" s="1243"/>
      <c r="S54" s="1249"/>
      <c r="T54" s="1252" t="s">
        <v>174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0.75" customHeight="1">
      <c r="A55" s="1270" t="s">
        <v>169</v>
      </c>
      <c r="B55" s="1270" t="s">
        <v>170</v>
      </c>
      <c r="C55" s="1241"/>
      <c r="D55" s="1241"/>
      <c r="E55" s="2897"/>
      <c r="F55" s="2896"/>
      <c r="G55" s="1241"/>
      <c r="H55" s="1241"/>
      <c r="I55" s="1241"/>
      <c r="J55" s="1241"/>
      <c r="K55" s="1241"/>
      <c r="L55" s="1266"/>
      <c r="M55" s="1248"/>
      <c r="N55" s="1248"/>
      <c r="P55" s="1243"/>
      <c r="Q55" s="1244"/>
      <c r="R55" s="1243"/>
      <c r="S55" s="1249"/>
      <c r="T55" s="1252" t="s">
        <v>176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0.75" customHeight="1">
      <c r="A56" s="1270" t="s">
        <v>169</v>
      </c>
      <c r="B56" s="1270"/>
      <c r="C56" s="1270"/>
      <c r="D56" s="1270"/>
      <c r="E56" s="2896"/>
      <c r="F56" s="1270"/>
      <c r="G56" s="1270"/>
      <c r="H56" s="1270"/>
      <c r="I56" s="1270"/>
      <c r="J56" s="1270"/>
      <c r="K56" s="1270"/>
      <c r="L56" s="1273"/>
      <c r="M56" s="1248"/>
      <c r="N56" s="1248"/>
      <c r="O56" s="455"/>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775" customFormat="1" ht="21" customHeight="1">
      <c r="A57" s="1290" t="s">
        <v>180</v>
      </c>
      <c r="B57" s="1290"/>
      <c r="C57" s="1290"/>
      <c r="D57" s="1290"/>
      <c r="E57" s="2896" t="s">
        <v>115</v>
      </c>
      <c r="F57" s="1290"/>
      <c r="G57" s="1290"/>
      <c r="H57" s="1290"/>
      <c r="I57" s="1290"/>
      <c r="J57" s="1290"/>
      <c r="K57" s="1290"/>
      <c r="L57" s="1296"/>
      <c r="M57" s="1292"/>
      <c r="N57" s="1292"/>
      <c r="O57" s="1292"/>
      <c r="P57" s="2007"/>
      <c r="Q57" s="1748"/>
      <c r="R57" s="292"/>
      <c r="S57" s="2003" t="str">
        <f>INDEX(PT_DIFFERENTIATION_NUM_NTAR,MATCH(A57,PT_DIFFERENTIATION_NTAR_ID,0))</f>
        <v>2</v>
      </c>
      <c r="T57" s="1452" t="s">
        <v>128</v>
      </c>
      <c r="U57" s="238"/>
      <c r="V57" s="2890"/>
      <c r="W57" s="2891"/>
      <c r="X57" s="2891"/>
      <c r="Y57" s="2891"/>
      <c r="Z57" s="2891"/>
      <c r="AA57" s="2891"/>
      <c r="AB57" s="2891"/>
      <c r="AC57" s="2892"/>
      <c r="AD57" s="2890" t="str">
        <f>INDEX(PT_DIFFERENTIATION_NTAR,MATCH(A57,PT_DIFFERENTIATION_NTAR_ID,0))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AE57" s="2891"/>
      <c r="AF57" s="2891"/>
      <c r="AG57" s="2891"/>
      <c r="AH57" s="2891"/>
      <c r="AI57" s="2891"/>
      <c r="AJ57" s="2891"/>
      <c r="AK57" s="2891"/>
      <c r="AL57" s="2892"/>
      <c r="AM57" s="1185" t="s">
        <v>441</v>
      </c>
      <c r="AN57" s="1569"/>
      <c r="AO57" s="1551"/>
      <c r="AP57" s="1551" t="str">
        <f t="shared" si="1"/>
        <v>Наименование тарифа</v>
      </c>
      <c r="AQ57" s="1551"/>
      <c r="AR57" s="1551"/>
      <c r="AS57" s="1562">
        <v>0</v>
      </c>
    </row>
    <row r="58" spans="1:45" s="1775" customFormat="1" ht="21" customHeight="1">
      <c r="A58" s="1290"/>
      <c r="B58" s="1290" t="s">
        <v>181</v>
      </c>
      <c r="C58" s="1290"/>
      <c r="D58" s="1290"/>
      <c r="E58" s="2897">
        <v>1</v>
      </c>
      <c r="F58" s="2896">
        <v>1</v>
      </c>
      <c r="G58" s="1290"/>
      <c r="H58" s="1290"/>
      <c r="I58" s="1290"/>
      <c r="J58" s="1290"/>
      <c r="K58" s="1290"/>
      <c r="L58" s="1296"/>
      <c r="M58" s="1292"/>
      <c r="N58" s="1292"/>
      <c r="O58" s="1292"/>
      <c r="P58" s="2000"/>
      <c r="Q58" s="289"/>
      <c r="R58" s="290"/>
      <c r="S58" s="2003" t="str">
        <f>INDEX(PT_DIFFERENTIATION_NUM_TER,MATCH(B58,PT_DIFFERENTIATION_TER_ID,0))</f>
        <v>2.1</v>
      </c>
      <c r="T58" s="1449" t="s">
        <v>442</v>
      </c>
      <c r="U58" s="238"/>
      <c r="V58" s="2890"/>
      <c r="W58" s="2891"/>
      <c r="X58" s="2891"/>
      <c r="Y58" s="2891"/>
      <c r="Z58" s="2891"/>
      <c r="AA58" s="2891"/>
      <c r="AB58" s="2891"/>
      <c r="AC58" s="2892"/>
      <c r="AD58" s="2890" t="str">
        <f>INDEX(PT_DIFFERENTIATION_TER,MATCH(B58,PT_DIFFERENTIATION_TER_ID,0))</f>
        <v>без дифференциации</v>
      </c>
      <c r="AE58" s="2891"/>
      <c r="AF58" s="2891"/>
      <c r="AG58" s="2891"/>
      <c r="AH58" s="2891"/>
      <c r="AI58" s="2891"/>
      <c r="AJ58" s="2891"/>
      <c r="AK58" s="2891"/>
      <c r="AL58" s="2892"/>
      <c r="AM58" s="1185" t="s">
        <v>443</v>
      </c>
      <c r="AN58" s="1569"/>
      <c r="AO58" s="1551"/>
      <c r="AP58" s="1551" t="str">
        <f t="shared" si="1"/>
        <v>Территория действия тарифа</v>
      </c>
      <c r="AQ58" s="1551"/>
      <c r="AR58" s="1551"/>
      <c r="AS58" s="1562">
        <v>0</v>
      </c>
    </row>
    <row r="59" spans="1:45" s="1775" customFormat="1" ht="23.25" customHeight="1">
      <c r="A59" s="1290"/>
      <c r="B59" s="1290"/>
      <c r="C59" s="1290" t="s">
        <v>182</v>
      </c>
      <c r="D59" s="1290"/>
      <c r="E59" s="2897">
        <v>1</v>
      </c>
      <c r="F59" s="2897"/>
      <c r="G59" s="2896">
        <v>1</v>
      </c>
      <c r="H59" s="1290"/>
      <c r="I59" s="1290"/>
      <c r="J59" s="1290"/>
      <c r="K59" s="1290"/>
      <c r="L59" s="1296"/>
      <c r="M59" s="1292"/>
      <c r="N59" s="1292"/>
      <c r="O59" s="1292"/>
      <c r="P59" s="291"/>
      <c r="Q59" s="289"/>
      <c r="R59" s="290"/>
      <c r="S59" s="2003" t="str">
        <f>INDEX(PT_DIFFERENTIATION_NUM_CS,MATCH(C59,PT_DIFFERENTIATION_CS_ID,0))</f>
        <v>2.1.1</v>
      </c>
      <c r="T59" s="247" t="s">
        <v>444</v>
      </c>
      <c r="U59" s="238"/>
      <c r="V59" s="2890"/>
      <c r="W59" s="2891"/>
      <c r="X59" s="2891"/>
      <c r="Y59" s="2891"/>
      <c r="Z59" s="2891"/>
      <c r="AA59" s="2891"/>
      <c r="AB59" s="2891"/>
      <c r="AC59" s="2892"/>
      <c r="AD59" s="2890" t="str">
        <f>INDEX(PT_DIFFERENTIATION_CS,MATCH(C59,PT_DIFFERENTIATION_CS_ID,0))</f>
        <v>без дифференциации</v>
      </c>
      <c r="AE59" s="2891"/>
      <c r="AF59" s="2891"/>
      <c r="AG59" s="2891"/>
      <c r="AH59" s="2891"/>
      <c r="AI59" s="2891"/>
      <c r="AJ59" s="2891"/>
      <c r="AK59" s="2891"/>
      <c r="AL59" s="2892"/>
      <c r="AM59" s="1185" t="s">
        <v>445</v>
      </c>
      <c r="AN59" s="1569"/>
      <c r="AO59" s="1551"/>
      <c r="AP59" s="1551" t="str">
        <f t="shared" si="1"/>
        <v xml:space="preserve">Наименование системы теплоснабжения </v>
      </c>
      <c r="AQ59" s="1551"/>
      <c r="AR59" s="1551"/>
      <c r="AS59" s="1562">
        <v>0</v>
      </c>
    </row>
    <row r="60" spans="1:45" s="1775" customFormat="1" ht="21" customHeight="1">
      <c r="A60" s="1290"/>
      <c r="B60" s="1290"/>
      <c r="C60" s="1290"/>
      <c r="D60" s="1290" t="s">
        <v>183</v>
      </c>
      <c r="E60" s="2897">
        <v>1</v>
      </c>
      <c r="F60" s="2897"/>
      <c r="G60" s="2897"/>
      <c r="H60" s="2896">
        <v>1</v>
      </c>
      <c r="I60" s="1290"/>
      <c r="J60" s="1290"/>
      <c r="K60" s="1290"/>
      <c r="L60" s="1296"/>
      <c r="M60" s="1292"/>
      <c r="N60" s="1292"/>
      <c r="O60" s="1292"/>
      <c r="P60" s="291"/>
      <c r="Q60" s="289"/>
      <c r="R60" s="290"/>
      <c r="S60" s="2003" t="str">
        <f>INDEX(PT_DIFFERENTIATION_NUM_IST_TE,MATCH(D60,PT_DIFFERENTIATION_IST_TE_ID,0))</f>
        <v>2.1.1.1</v>
      </c>
      <c r="T60" s="248" t="s">
        <v>446</v>
      </c>
      <c r="U60" s="238"/>
      <c r="V60" s="2890"/>
      <c r="W60" s="2891"/>
      <c r="X60" s="2891"/>
      <c r="Y60" s="2891"/>
      <c r="Z60" s="2891"/>
      <c r="AA60" s="2891"/>
      <c r="AB60" s="2891"/>
      <c r="AC60" s="2892"/>
      <c r="AD60" s="2890" t="str">
        <f>INDEX(PT_DIFFERENTIATION_IST_TE,MATCH(D60,PT_DIFFERENTIATION_IST_TE_ID,0))</f>
        <v>без дифференциации</v>
      </c>
      <c r="AE60" s="2891"/>
      <c r="AF60" s="2891"/>
      <c r="AG60" s="2891"/>
      <c r="AH60" s="2891"/>
      <c r="AI60" s="2891"/>
      <c r="AJ60" s="2891"/>
      <c r="AK60" s="2891"/>
      <c r="AL60" s="2892"/>
      <c r="AM60" s="1185" t="s">
        <v>447</v>
      </c>
      <c r="AN60" s="1569"/>
      <c r="AO60" s="1551"/>
      <c r="AP60" s="1551" t="str">
        <f t="shared" si="1"/>
        <v xml:space="preserve">Источник тепловой энергии  </v>
      </c>
      <c r="AQ60" s="1551"/>
      <c r="AR60" s="1551"/>
      <c r="AS60" s="1562">
        <v>0</v>
      </c>
    </row>
    <row r="61" spans="1:45" s="1775" customFormat="1" ht="47.25" customHeight="1">
      <c r="A61" s="1290"/>
      <c r="B61" s="1290"/>
      <c r="C61" s="1290"/>
      <c r="D61" s="1290"/>
      <c r="E61" s="2897">
        <v>1</v>
      </c>
      <c r="F61" s="2897"/>
      <c r="G61" s="2897"/>
      <c r="H61" s="2897"/>
      <c r="I61" s="2898" t="str">
        <f>S60&amp;".1"</f>
        <v>2.1.1.1.1</v>
      </c>
      <c r="J61" s="1290"/>
      <c r="K61" s="1290"/>
      <c r="L61" s="1296" t="s">
        <v>448</v>
      </c>
      <c r="M61" s="1293"/>
      <c r="N61" s="1702"/>
      <c r="O61" s="1702"/>
      <c r="P61" s="2900">
        <v>1</v>
      </c>
      <c r="Q61" s="2006"/>
      <c r="R61" s="293"/>
      <c r="S61" s="2003" t="str">
        <f>$I61</f>
        <v>2.1.1.1.1</v>
      </c>
      <c r="T61" s="223" t="s">
        <v>449</v>
      </c>
      <c r="U61" s="238"/>
      <c r="V61" s="2884"/>
      <c r="W61" s="2885"/>
      <c r="X61" s="2885"/>
      <c r="Y61" s="2885"/>
      <c r="Z61" s="2885"/>
      <c r="AA61" s="2885"/>
      <c r="AB61" s="2885"/>
      <c r="AC61" s="2886"/>
      <c r="AD61" s="2884" t="s">
        <v>491</v>
      </c>
      <c r="AE61" s="2885"/>
      <c r="AF61" s="2885"/>
      <c r="AG61" s="2885"/>
      <c r="AH61" s="2885"/>
      <c r="AI61" s="2885"/>
      <c r="AJ61" s="2885"/>
      <c r="AK61" s="2885"/>
      <c r="AL61" s="2886"/>
      <c r="AM61" s="1185" t="s">
        <v>450</v>
      </c>
      <c r="AN61" s="1569"/>
      <c r="AO61" s="1551"/>
      <c r="AP61" s="1551" t="str">
        <f t="shared" si="1"/>
        <v>Схема подключения теплопотребляющей установки к коллектору источника тепловой энергии</v>
      </c>
      <c r="AQ61" s="1551"/>
      <c r="AR61" s="1551"/>
      <c r="AS61" s="1562">
        <v>0</v>
      </c>
    </row>
    <row r="62" spans="1:45" s="1775" customFormat="1" ht="21" customHeight="1">
      <c r="A62" s="1290"/>
      <c r="B62" s="1290"/>
      <c r="C62" s="1290"/>
      <c r="D62" s="1290"/>
      <c r="E62" s="2897">
        <v>1</v>
      </c>
      <c r="F62" s="2897"/>
      <c r="G62" s="2897"/>
      <c r="H62" s="2897"/>
      <c r="I62" s="2899"/>
      <c r="J62" s="2898" t="str">
        <f>I61&amp;".1"</f>
        <v>2.1.1.1.1.1</v>
      </c>
      <c r="K62" s="1290"/>
      <c r="L62" s="1296" t="s">
        <v>451</v>
      </c>
      <c r="M62" s="1293"/>
      <c r="N62" s="1293"/>
      <c r="O62" s="1702"/>
      <c r="P62" s="2900"/>
      <c r="Q62" s="2900">
        <v>1</v>
      </c>
      <c r="R62" s="294"/>
      <c r="S62" s="2003" t="str">
        <f>$J62</f>
        <v>2.1.1.1.1.1</v>
      </c>
      <c r="T62" s="224" t="s">
        <v>452</v>
      </c>
      <c r="U62" s="238"/>
      <c r="V62" s="2884"/>
      <c r="W62" s="2885"/>
      <c r="X62" s="2885"/>
      <c r="Y62" s="2885"/>
      <c r="Z62" s="2885"/>
      <c r="AA62" s="2885"/>
      <c r="AB62" s="2885"/>
      <c r="AC62" s="2886"/>
      <c r="AD62" s="2884" t="s">
        <v>492</v>
      </c>
      <c r="AE62" s="2885"/>
      <c r="AF62" s="2885"/>
      <c r="AG62" s="2885"/>
      <c r="AH62" s="2885"/>
      <c r="AI62" s="2885"/>
      <c r="AJ62" s="2885"/>
      <c r="AK62" s="2885"/>
      <c r="AL62" s="2886"/>
      <c r="AM62" s="1185" t="s">
        <v>453</v>
      </c>
      <c r="AN62" s="1569"/>
      <c r="AO62" s="1551"/>
      <c r="AP62" s="1551" t="str">
        <f t="shared" si="1"/>
        <v>Группа потребителей</v>
      </c>
      <c r="AQ62" s="1551"/>
      <c r="AR62" s="1551"/>
      <c r="AS62" s="1562">
        <v>0</v>
      </c>
    </row>
    <row r="63" spans="1:45" s="1775" customFormat="1" ht="21" customHeight="1">
      <c r="A63" s="1290"/>
      <c r="B63" s="1290"/>
      <c r="C63" s="1290"/>
      <c r="D63" s="1290"/>
      <c r="E63" s="2897">
        <v>1</v>
      </c>
      <c r="F63" s="2897"/>
      <c r="G63" s="2897"/>
      <c r="H63" s="2897"/>
      <c r="I63" s="2899"/>
      <c r="J63" s="2899"/>
      <c r="K63" s="2898" t="str">
        <f>J62&amp;".1"</f>
        <v>2.1.1.1.1.1.1</v>
      </c>
      <c r="L63" s="1296" t="s">
        <v>454</v>
      </c>
      <c r="M63" s="1293"/>
      <c r="N63" s="1293"/>
      <c r="O63" s="1293"/>
      <c r="P63" s="2900"/>
      <c r="Q63" s="2900"/>
      <c r="R63" s="294">
        <v>1</v>
      </c>
      <c r="S63" s="2003" t="str">
        <f>$K63</f>
        <v>2.1.1.1.1.1.1</v>
      </c>
      <c r="T63" s="1274" t="s">
        <v>493</v>
      </c>
      <c r="U63" s="238"/>
      <c r="V63" s="688"/>
      <c r="W63" s="263"/>
      <c r="X63" s="688"/>
      <c r="Y63" s="1184"/>
      <c r="Z63" s="2901"/>
      <c r="AA63" s="2768" t="s">
        <v>71</v>
      </c>
      <c r="AB63" s="2901"/>
      <c r="AC63" s="2768" t="s">
        <v>71</v>
      </c>
      <c r="AD63" s="688">
        <v>2648.09</v>
      </c>
      <c r="AE63" s="263"/>
      <c r="AF63" s="688"/>
      <c r="AG63" s="1184"/>
      <c r="AH63" s="2901" t="s">
        <v>22</v>
      </c>
      <c r="AI63" s="2768" t="s">
        <v>71</v>
      </c>
      <c r="AJ63" s="2901" t="s">
        <v>26</v>
      </c>
      <c r="AK63" s="2768" t="s">
        <v>71</v>
      </c>
      <c r="AL63" s="263"/>
      <c r="AM63" s="2919" t="s">
        <v>455</v>
      </c>
      <c r="AN63" s="1569" t="e">
        <f ca="1">STRCHECKDATE(V64:AL64)</f>
        <v>#NAME?</v>
      </c>
      <c r="AO63" s="1551"/>
      <c r="AP63" s="1551" t="str">
        <f t="shared" si="1"/>
        <v>вода</v>
      </c>
      <c r="AQ63" s="1551"/>
      <c r="AR63" s="1551"/>
      <c r="AS63" s="1562">
        <v>0</v>
      </c>
    </row>
    <row r="64" spans="1:45" s="1775" customFormat="1" ht="0.75" customHeight="1">
      <c r="A64" s="1290"/>
      <c r="B64" s="1290"/>
      <c r="C64" s="1290"/>
      <c r="D64" s="1290"/>
      <c r="E64" s="2897">
        <v>1</v>
      </c>
      <c r="F64" s="2897"/>
      <c r="G64" s="2897"/>
      <c r="H64" s="2897"/>
      <c r="I64" s="2899"/>
      <c r="J64" s="2899"/>
      <c r="K64" s="2898"/>
      <c r="L64" s="1296"/>
      <c r="M64" s="1293"/>
      <c r="N64" s="1293"/>
      <c r="O64" s="1293"/>
      <c r="P64" s="2900"/>
      <c r="Q64" s="2900"/>
      <c r="R64" s="294"/>
      <c r="S64" s="2010"/>
      <c r="T64" s="238"/>
      <c r="U64" s="238"/>
      <c r="V64" s="263"/>
      <c r="W64" s="263"/>
      <c r="X64" s="263"/>
      <c r="Y64" s="266" t="str">
        <f>Z63&amp;"-"&amp;AB63</f>
        <v>-</v>
      </c>
      <c r="Z64" s="2902"/>
      <c r="AA64" s="2768"/>
      <c r="AB64" s="2902"/>
      <c r="AC64" s="2768"/>
      <c r="AD64" s="263"/>
      <c r="AE64" s="263"/>
      <c r="AF64" s="263"/>
      <c r="AG64" s="266" t="str">
        <f>AH63&amp;"-"&amp;AJ63</f>
        <v>01.01.2025-31.12.2025</v>
      </c>
      <c r="AH64" s="2902"/>
      <c r="AI64" s="2768"/>
      <c r="AJ64" s="2902"/>
      <c r="AK64" s="2768"/>
      <c r="AL64" s="263"/>
      <c r="AM64" s="2920"/>
      <c r="AN64" s="1569"/>
      <c r="AO64" s="1551"/>
      <c r="AP64" s="1551" t="str">
        <f t="shared" si="1"/>
        <v/>
      </c>
      <c r="AQ64" s="1551"/>
      <c r="AR64" s="1551"/>
      <c r="AS64" s="1562">
        <v>0</v>
      </c>
    </row>
    <row r="65" spans="1:45" s="1775" customFormat="1" ht="183.75" customHeight="1">
      <c r="A65" s="1290"/>
      <c r="B65" s="1290"/>
      <c r="C65" s="1290"/>
      <c r="D65" s="1290"/>
      <c r="E65" s="2897">
        <v>1</v>
      </c>
      <c r="F65" s="2897"/>
      <c r="G65" s="2897"/>
      <c r="H65" s="2897"/>
      <c r="I65" s="2899"/>
      <c r="J65" s="2898"/>
      <c r="K65" s="1290"/>
      <c r="L65" s="1296"/>
      <c r="M65" s="1293"/>
      <c r="N65" s="1293"/>
      <c r="O65" s="1702"/>
      <c r="P65" s="2900"/>
      <c r="Q65" s="2900"/>
      <c r="R65" s="293"/>
      <c r="S65" s="2072"/>
      <c r="T65" s="2073" t="s">
        <v>456</v>
      </c>
      <c r="U65" s="2074"/>
      <c r="V65" s="2075"/>
      <c r="W65" s="2076"/>
      <c r="X65" s="2077"/>
      <c r="Y65" s="2078"/>
      <c r="Z65" s="2079"/>
      <c r="AA65" s="2080"/>
      <c r="AB65" s="2081"/>
      <c r="AC65" s="2082"/>
      <c r="AD65" s="2083"/>
      <c r="AE65" s="2084"/>
      <c r="AF65" s="2085"/>
      <c r="AG65" s="2086"/>
      <c r="AH65" s="2087"/>
      <c r="AI65" s="2088"/>
      <c r="AJ65" s="2089"/>
      <c r="AK65" s="2090"/>
      <c r="AL65" s="2091"/>
      <c r="AM65" s="2921"/>
      <c r="AN65" s="1569"/>
      <c r="AO65" s="1551"/>
      <c r="AP65" s="1551" t="str">
        <f t="shared" si="1"/>
        <v>Добавить вид теплоносителя (параметры теплоносителя)</v>
      </c>
      <c r="AQ65" s="1551"/>
      <c r="AR65" s="1551"/>
      <c r="AS65" s="1562">
        <v>0</v>
      </c>
    </row>
    <row r="66" spans="1:45" s="1775" customFormat="1" ht="15" customHeight="1">
      <c r="A66" s="1290"/>
      <c r="B66" s="1290"/>
      <c r="C66" s="1290"/>
      <c r="D66" s="1290"/>
      <c r="E66" s="2897">
        <v>1</v>
      </c>
      <c r="F66" s="2897"/>
      <c r="G66" s="2897"/>
      <c r="H66" s="2897"/>
      <c r="I66" s="2898"/>
      <c r="J66" s="1290"/>
      <c r="K66" s="1290"/>
      <c r="L66" s="1296"/>
      <c r="M66" s="1293"/>
      <c r="N66" s="1702"/>
      <c r="O66" s="1702"/>
      <c r="P66" s="2900"/>
      <c r="Q66" s="2006"/>
      <c r="R66" s="293"/>
      <c r="S66" s="2092"/>
      <c r="T66" s="2093" t="s">
        <v>457</v>
      </c>
      <c r="U66" s="2094"/>
      <c r="V66" s="2095"/>
      <c r="W66" s="2096"/>
      <c r="X66" s="2097"/>
      <c r="Y66" s="2098"/>
      <c r="Z66" s="2099"/>
      <c r="AA66" s="2100"/>
      <c r="AB66" s="2101"/>
      <c r="AC66" s="2102"/>
      <c r="AD66" s="2103"/>
      <c r="AE66" s="2104"/>
      <c r="AF66" s="2105"/>
      <c r="AG66" s="2106"/>
      <c r="AH66" s="2107"/>
      <c r="AI66" s="2108"/>
      <c r="AJ66" s="2109"/>
      <c r="AK66" s="2110"/>
      <c r="AL66" s="2111"/>
      <c r="AM66" s="2112"/>
      <c r="AN66" s="1569"/>
      <c r="AO66" s="1551"/>
      <c r="AP66" s="1551" t="str">
        <f t="shared" si="1"/>
        <v>Добавить группу потребителей</v>
      </c>
      <c r="AQ66" s="1551"/>
      <c r="AR66" s="1551"/>
      <c r="AS66" s="1562">
        <v>0</v>
      </c>
    </row>
    <row r="67" spans="1:45" s="1775" customFormat="1" ht="14.25" customHeight="1">
      <c r="A67" s="1290"/>
      <c r="B67" s="1290"/>
      <c r="C67" s="1290"/>
      <c r="D67" s="1290"/>
      <c r="E67" s="2897">
        <v>1</v>
      </c>
      <c r="F67" s="2897"/>
      <c r="G67" s="2897"/>
      <c r="H67" s="2896"/>
      <c r="I67" s="1290"/>
      <c r="J67" s="1290"/>
      <c r="K67" s="1290"/>
      <c r="L67" s="1296"/>
      <c r="M67" s="1292"/>
      <c r="N67" s="1292"/>
      <c r="O67" s="1293"/>
      <c r="P67" s="1748"/>
      <c r="Q67" s="312"/>
      <c r="R67" s="292"/>
      <c r="S67" s="2113"/>
      <c r="T67" s="2114" t="s">
        <v>458</v>
      </c>
      <c r="U67" s="2115"/>
      <c r="V67" s="2116"/>
      <c r="W67" s="2117"/>
      <c r="X67" s="2118"/>
      <c r="Y67" s="2119"/>
      <c r="Z67" s="2120"/>
      <c r="AA67" s="2121"/>
      <c r="AB67" s="2122"/>
      <c r="AC67" s="2123"/>
      <c r="AD67" s="2124"/>
      <c r="AE67" s="2125"/>
      <c r="AF67" s="2126"/>
      <c r="AG67" s="2127"/>
      <c r="AH67" s="2128"/>
      <c r="AI67" s="2129"/>
      <c r="AJ67" s="2130"/>
      <c r="AK67" s="2131"/>
      <c r="AL67" s="2132"/>
      <c r="AM67" s="2133"/>
      <c r="AN67" s="1569"/>
      <c r="AO67" s="1551"/>
      <c r="AP67" s="1551" t="str">
        <f t="shared" si="1"/>
        <v>Добавить схему подключения</v>
      </c>
      <c r="AQ67" s="1551"/>
      <c r="AR67" s="1551"/>
      <c r="AS67" s="1562">
        <v>0</v>
      </c>
    </row>
    <row r="68" spans="1:45" s="559" customFormat="1" ht="0.75" customHeight="1">
      <c r="A68" s="1270"/>
      <c r="B68" s="1270"/>
      <c r="C68" s="1270"/>
      <c r="D68" s="1270"/>
      <c r="E68" s="2897">
        <v>1</v>
      </c>
      <c r="F68" s="2897"/>
      <c r="G68" s="2896"/>
      <c r="H68" s="1270"/>
      <c r="I68" s="1270"/>
      <c r="J68" s="1270"/>
      <c r="K68" s="1270"/>
      <c r="L68" s="1472"/>
      <c r="M68" s="1242"/>
      <c r="N68" s="1242"/>
      <c r="O68" s="1569"/>
      <c r="P68" s="1243"/>
      <c r="Q68" s="1271"/>
      <c r="R68" s="1243"/>
      <c r="S68" s="1245"/>
      <c r="T68" s="1246" t="s">
        <v>174</v>
      </c>
      <c r="U68" s="1247"/>
      <c r="V68" s="1247"/>
      <c r="W68" s="1247"/>
      <c r="X68" s="1247"/>
      <c r="Y68" s="1247"/>
      <c r="Z68" s="1247"/>
      <c r="AA68" s="1247"/>
      <c r="AB68" s="1247"/>
      <c r="AC68" s="1247"/>
      <c r="AD68" s="1247"/>
      <c r="AE68" s="1247"/>
      <c r="AF68" s="1247"/>
      <c r="AG68" s="1247"/>
      <c r="AH68" s="1247"/>
      <c r="AI68" s="1247"/>
      <c r="AJ68" s="1247"/>
      <c r="AK68" s="1247"/>
      <c r="AL68" s="1247"/>
      <c r="AM68" s="1247"/>
      <c r="AN68" s="1569"/>
      <c r="AO68" s="1551"/>
      <c r="AP68" s="1551" t="str">
        <f t="shared" si="1"/>
        <v>Добавить источник для дифференциации</v>
      </c>
      <c r="AQ68" s="1551"/>
      <c r="AR68" s="1551"/>
      <c r="AS68" s="1569">
        <v>0</v>
      </c>
    </row>
    <row r="69" spans="1:45" s="559" customFormat="1" ht="0.75" customHeight="1">
      <c r="A69" s="1270"/>
      <c r="B69" s="1270"/>
      <c r="C69" s="1270"/>
      <c r="D69" s="1270"/>
      <c r="E69" s="2897">
        <v>1</v>
      </c>
      <c r="F69" s="2896"/>
      <c r="G69" s="1270"/>
      <c r="H69" s="1270"/>
      <c r="I69" s="1270"/>
      <c r="J69" s="1270"/>
      <c r="K69" s="1270"/>
      <c r="L69" s="1472"/>
      <c r="M69" s="1248"/>
      <c r="N69" s="1248"/>
      <c r="O69" s="1569"/>
      <c r="P69" s="1243"/>
      <c r="Q69" s="1271"/>
      <c r="R69" s="1243"/>
      <c r="S69" s="1249"/>
      <c r="T69" s="1250" t="s">
        <v>176</v>
      </c>
      <c r="U69" s="1251"/>
      <c r="V69" s="1251"/>
      <c r="W69" s="1251"/>
      <c r="X69" s="1251"/>
      <c r="Y69" s="1251"/>
      <c r="Z69" s="1251"/>
      <c r="AA69" s="1251"/>
      <c r="AB69" s="1251"/>
      <c r="AC69" s="1251"/>
      <c r="AD69" s="1251"/>
      <c r="AE69" s="1251"/>
      <c r="AF69" s="1251"/>
      <c r="AG69" s="1251"/>
      <c r="AH69" s="1251"/>
      <c r="AI69" s="1251"/>
      <c r="AJ69" s="1251"/>
      <c r="AK69" s="1251"/>
      <c r="AL69" s="1251"/>
      <c r="AM69" s="1251"/>
      <c r="AN69" s="1569"/>
      <c r="AO69" s="1551"/>
      <c r="AP69" s="1551" t="str">
        <f t="shared" si="1"/>
        <v>Добавить централизованную систему для дифференциации</v>
      </c>
      <c r="AQ69" s="1551"/>
      <c r="AR69" s="1551"/>
      <c r="AS69" s="1569">
        <v>0</v>
      </c>
    </row>
    <row r="70" spans="1:45" s="559" customFormat="1" ht="0.75" customHeight="1">
      <c r="A70" s="1270"/>
      <c r="B70" s="1270"/>
      <c r="C70" s="1270"/>
      <c r="D70" s="1270"/>
      <c r="E70" s="2896">
        <v>1</v>
      </c>
      <c r="F70" s="1270"/>
      <c r="G70" s="1270"/>
      <c r="H70" s="1270"/>
      <c r="I70" s="1270"/>
      <c r="J70" s="1270"/>
      <c r="K70" s="1270"/>
      <c r="L70" s="1472"/>
      <c r="M70" s="1248"/>
      <c r="N70" s="1248"/>
      <c r="O70" s="1569"/>
      <c r="P70" s="1243"/>
      <c r="Q70" s="1271"/>
      <c r="R70" s="1243"/>
      <c r="S70" s="1249"/>
      <c r="T70" s="1252" t="s">
        <v>178</v>
      </c>
      <c r="U70" s="1251"/>
      <c r="V70" s="1251"/>
      <c r="W70" s="1251"/>
      <c r="X70" s="1251"/>
      <c r="Y70" s="1251"/>
      <c r="Z70" s="1251"/>
      <c r="AA70" s="1251"/>
      <c r="AB70" s="1251"/>
      <c r="AC70" s="1251"/>
      <c r="AD70" s="1251"/>
      <c r="AE70" s="1251"/>
      <c r="AF70" s="1251"/>
      <c r="AG70" s="1251"/>
      <c r="AH70" s="1251"/>
      <c r="AI70" s="1251"/>
      <c r="AJ70" s="1251"/>
      <c r="AK70" s="1251"/>
      <c r="AL70" s="1251"/>
      <c r="AM70" s="1251"/>
      <c r="AN70" s="1569"/>
      <c r="AO70" s="1551"/>
      <c r="AP70" s="1551" t="str">
        <f t="shared" si="1"/>
        <v>Добавить территорию для дифференциации</v>
      </c>
      <c r="AQ70" s="1551"/>
      <c r="AR70" s="1551"/>
      <c r="AS70" s="1569">
        <v>0</v>
      </c>
    </row>
    <row r="71" spans="1:45" s="1775" customFormat="1" ht="22.5" customHeight="1">
      <c r="A71" s="1290" t="s">
        <v>184</v>
      </c>
      <c r="B71" s="1290"/>
      <c r="C71" s="1290"/>
      <c r="D71" s="1290"/>
      <c r="E71" s="2896" t="s">
        <v>95</v>
      </c>
      <c r="F71" s="1290"/>
      <c r="G71" s="1290"/>
      <c r="H71" s="1290"/>
      <c r="I71" s="1290"/>
      <c r="J71" s="1290"/>
      <c r="K71" s="1290"/>
      <c r="L71" s="1296"/>
      <c r="M71" s="1292"/>
      <c r="N71" s="1292"/>
      <c r="O71" s="1292"/>
      <c r="P71" s="2007"/>
      <c r="Q71" s="1748"/>
      <c r="R71" s="292"/>
      <c r="S71" s="2003" t="str">
        <f>INDEX(PT_DIFFERENTIATION_NUM_NTAR,MATCH(A71,PT_DIFFERENTIATION_NTAR_ID,0))</f>
        <v>3</v>
      </c>
      <c r="T71" s="1452" t="s">
        <v>128</v>
      </c>
      <c r="U71" s="238"/>
      <c r="V71" s="2890"/>
      <c r="W71" s="2891"/>
      <c r="X71" s="2891"/>
      <c r="Y71" s="2891"/>
      <c r="Z71" s="2891"/>
      <c r="AA71" s="2891"/>
      <c r="AB71" s="2891"/>
      <c r="AC71" s="2892"/>
      <c r="AD71" s="2890" t="str">
        <f>INDEX(PT_DIFFERENTIATION_NTAR,MATCH(A71,PT_DIFFERENTIATION_NTAR_ID,0))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AE71" s="2891"/>
      <c r="AF71" s="2891"/>
      <c r="AG71" s="2891"/>
      <c r="AH71" s="2891"/>
      <c r="AI71" s="2891"/>
      <c r="AJ71" s="2891"/>
      <c r="AK71" s="2891"/>
      <c r="AL71" s="2892"/>
      <c r="AM71" s="1185" t="s">
        <v>441</v>
      </c>
      <c r="AN71" s="1569"/>
      <c r="AO71" s="1551"/>
      <c r="AP71" s="1551" t="str">
        <f t="shared" si="1"/>
        <v>Наименование тарифа</v>
      </c>
      <c r="AQ71" s="1551"/>
      <c r="AR71" s="1551"/>
      <c r="AS71" s="1562">
        <v>0</v>
      </c>
    </row>
    <row r="72" spans="1:45" s="1775" customFormat="1" ht="21" customHeight="1">
      <c r="A72" s="1290"/>
      <c r="B72" s="1290" t="s">
        <v>185</v>
      </c>
      <c r="C72" s="1290"/>
      <c r="D72" s="1290"/>
      <c r="E72" s="2897" t="s">
        <v>115</v>
      </c>
      <c r="F72" s="2896">
        <v>1</v>
      </c>
      <c r="G72" s="1290"/>
      <c r="H72" s="1290"/>
      <c r="I72" s="1290"/>
      <c r="J72" s="1290"/>
      <c r="K72" s="1290"/>
      <c r="L72" s="1296"/>
      <c r="M72" s="1292"/>
      <c r="N72" s="1292"/>
      <c r="O72" s="1292"/>
      <c r="P72" s="2000"/>
      <c r="Q72" s="289"/>
      <c r="R72" s="290"/>
      <c r="S72" s="2003" t="str">
        <f>INDEX(PT_DIFFERENTIATION_NUM_TER,MATCH(B72,PT_DIFFERENTIATION_TER_ID,0))</f>
        <v>3.1</v>
      </c>
      <c r="T72" s="1449" t="s">
        <v>442</v>
      </c>
      <c r="U72" s="238"/>
      <c r="V72" s="2890"/>
      <c r="W72" s="2891"/>
      <c r="X72" s="2891"/>
      <c r="Y72" s="2891"/>
      <c r="Z72" s="2891"/>
      <c r="AA72" s="2891"/>
      <c r="AB72" s="2891"/>
      <c r="AC72" s="2892"/>
      <c r="AD72" s="2890" t="str">
        <f>INDEX(PT_DIFFERENTIATION_TER,MATCH(B72,PT_DIFFERENTIATION_TER_ID,0))</f>
        <v>без дифференциации</v>
      </c>
      <c r="AE72" s="2891"/>
      <c r="AF72" s="2891"/>
      <c r="AG72" s="2891"/>
      <c r="AH72" s="2891"/>
      <c r="AI72" s="2891"/>
      <c r="AJ72" s="2891"/>
      <c r="AK72" s="2891"/>
      <c r="AL72" s="2892"/>
      <c r="AM72" s="1185" t="s">
        <v>443</v>
      </c>
      <c r="AN72" s="1569"/>
      <c r="AO72" s="1551"/>
      <c r="AP72" s="1551" t="str">
        <f t="shared" si="1"/>
        <v>Территория действия тарифа</v>
      </c>
      <c r="AQ72" s="1551"/>
      <c r="AR72" s="1551"/>
      <c r="AS72" s="1562">
        <v>0</v>
      </c>
    </row>
    <row r="73" spans="1:45" s="1775" customFormat="1" ht="25.5" customHeight="1">
      <c r="A73" s="1290"/>
      <c r="B73" s="1290"/>
      <c r="C73" s="1290" t="s">
        <v>186</v>
      </c>
      <c r="D73" s="1290"/>
      <c r="E73" s="2897" t="s">
        <v>115</v>
      </c>
      <c r="F73" s="2897"/>
      <c r="G73" s="2896">
        <v>1</v>
      </c>
      <c r="H73" s="1290"/>
      <c r="I73" s="1290"/>
      <c r="J73" s="1290"/>
      <c r="K73" s="1290"/>
      <c r="L73" s="1296"/>
      <c r="M73" s="1292"/>
      <c r="N73" s="1292"/>
      <c r="O73" s="1292"/>
      <c r="P73" s="291"/>
      <c r="Q73" s="289"/>
      <c r="R73" s="290"/>
      <c r="S73" s="2003" t="str">
        <f>INDEX(PT_DIFFERENTIATION_NUM_CS,MATCH(C73,PT_DIFFERENTIATION_CS_ID,0))</f>
        <v>3.1.1</v>
      </c>
      <c r="T73" s="247" t="s">
        <v>444</v>
      </c>
      <c r="U73" s="238"/>
      <c r="V73" s="2890"/>
      <c r="W73" s="2891"/>
      <c r="X73" s="2891"/>
      <c r="Y73" s="2891"/>
      <c r="Z73" s="2891"/>
      <c r="AA73" s="2891"/>
      <c r="AB73" s="2891"/>
      <c r="AC73" s="2892"/>
      <c r="AD73" s="2890" t="str">
        <f>INDEX(PT_DIFFERENTIATION_CS,MATCH(C73,PT_DIFFERENTIATION_CS_ID,0))</f>
        <v>без дифференциации</v>
      </c>
      <c r="AE73" s="2891"/>
      <c r="AF73" s="2891"/>
      <c r="AG73" s="2891"/>
      <c r="AH73" s="2891"/>
      <c r="AI73" s="2891"/>
      <c r="AJ73" s="2891"/>
      <c r="AK73" s="2891"/>
      <c r="AL73" s="2892"/>
      <c r="AM73" s="1185" t="s">
        <v>445</v>
      </c>
      <c r="AN73" s="1569"/>
      <c r="AO73" s="1551"/>
      <c r="AP73" s="1551" t="str">
        <f t="shared" si="1"/>
        <v xml:space="preserve">Наименование системы теплоснабжения </v>
      </c>
      <c r="AQ73" s="1551"/>
      <c r="AR73" s="1551"/>
      <c r="AS73" s="1562">
        <v>0</v>
      </c>
    </row>
    <row r="74" spans="1:45" s="1775" customFormat="1" ht="27" customHeight="1">
      <c r="A74" s="1290"/>
      <c r="B74" s="1290"/>
      <c r="C74" s="1290"/>
      <c r="D74" s="1290" t="s">
        <v>187</v>
      </c>
      <c r="E74" s="2897" t="s">
        <v>115</v>
      </c>
      <c r="F74" s="2897"/>
      <c r="G74" s="2897"/>
      <c r="H74" s="2896">
        <v>1</v>
      </c>
      <c r="I74" s="1290"/>
      <c r="J74" s="1290"/>
      <c r="K74" s="1290"/>
      <c r="L74" s="1296"/>
      <c r="M74" s="1292"/>
      <c r="N74" s="1292"/>
      <c r="O74" s="1292"/>
      <c r="P74" s="291"/>
      <c r="Q74" s="289"/>
      <c r="R74" s="290"/>
      <c r="S74" s="2003" t="str">
        <f>INDEX(PT_DIFFERENTIATION_NUM_IST_TE,MATCH(D74,PT_DIFFERENTIATION_IST_TE_ID,0))</f>
        <v>3.1.1.1</v>
      </c>
      <c r="T74" s="248" t="s">
        <v>446</v>
      </c>
      <c r="U74" s="238"/>
      <c r="V74" s="2890"/>
      <c r="W74" s="2891"/>
      <c r="X74" s="2891"/>
      <c r="Y74" s="2891"/>
      <c r="Z74" s="2891"/>
      <c r="AA74" s="2891"/>
      <c r="AB74" s="2891"/>
      <c r="AC74" s="2892"/>
      <c r="AD74" s="2890" t="str">
        <f>INDEX(PT_DIFFERENTIATION_IST_TE,MATCH(D74,PT_DIFFERENTIATION_IST_TE_ID,0))</f>
        <v>без дифференциации</v>
      </c>
      <c r="AE74" s="2891"/>
      <c r="AF74" s="2891"/>
      <c r="AG74" s="2891"/>
      <c r="AH74" s="2891"/>
      <c r="AI74" s="2891"/>
      <c r="AJ74" s="2891"/>
      <c r="AK74" s="2891"/>
      <c r="AL74" s="2892"/>
      <c r="AM74" s="1185" t="s">
        <v>447</v>
      </c>
      <c r="AN74" s="1569"/>
      <c r="AO74" s="1551"/>
      <c r="AP74" s="1551" t="str">
        <f t="shared" si="1"/>
        <v xml:space="preserve">Источник тепловой энергии  </v>
      </c>
      <c r="AQ74" s="1551"/>
      <c r="AR74" s="1551"/>
      <c r="AS74" s="1562">
        <v>0</v>
      </c>
    </row>
    <row r="75" spans="1:45" s="1775" customFormat="1" ht="96" customHeight="1">
      <c r="A75" s="1290"/>
      <c r="B75" s="1290"/>
      <c r="C75" s="1290"/>
      <c r="D75" s="1290"/>
      <c r="E75" s="2897" t="s">
        <v>115</v>
      </c>
      <c r="F75" s="2897"/>
      <c r="G75" s="2897"/>
      <c r="H75" s="2897"/>
      <c r="I75" s="2898" t="str">
        <f>S74&amp;".1"</f>
        <v>3.1.1.1.1</v>
      </c>
      <c r="J75" s="1290"/>
      <c r="K75" s="1290"/>
      <c r="L75" s="1296" t="s">
        <v>448</v>
      </c>
      <c r="M75" s="1293"/>
      <c r="N75" s="1702"/>
      <c r="O75" s="1702"/>
      <c r="P75" s="2900">
        <v>1</v>
      </c>
      <c r="Q75" s="2006"/>
      <c r="R75" s="293"/>
      <c r="S75" s="2003" t="str">
        <f>$I75</f>
        <v>3.1.1.1.1</v>
      </c>
      <c r="T75" s="223" t="s">
        <v>449</v>
      </c>
      <c r="U75" s="238"/>
      <c r="V75" s="2884"/>
      <c r="W75" s="2885"/>
      <c r="X75" s="2885"/>
      <c r="Y75" s="2885"/>
      <c r="Z75" s="2885"/>
      <c r="AA75" s="2885"/>
      <c r="AB75" s="2885"/>
      <c r="AC75" s="2886"/>
      <c r="AD75" s="2884" t="s">
        <v>491</v>
      </c>
      <c r="AE75" s="2885"/>
      <c r="AF75" s="2885"/>
      <c r="AG75" s="2885"/>
      <c r="AH75" s="2885"/>
      <c r="AI75" s="2885"/>
      <c r="AJ75" s="2885"/>
      <c r="AK75" s="2885"/>
      <c r="AL75" s="2886"/>
      <c r="AM75" s="1185" t="s">
        <v>450</v>
      </c>
      <c r="AN75" s="1569"/>
      <c r="AO75" s="1551"/>
      <c r="AP75" s="1551" t="str">
        <f t="shared" ref="AP75:AP106" si="2">IF(T75="","",T75)</f>
        <v>Схема подключения теплопотребляющей установки к коллектору источника тепловой энергии</v>
      </c>
      <c r="AQ75" s="1551"/>
      <c r="AR75" s="1551"/>
      <c r="AS75" s="1562">
        <v>0</v>
      </c>
    </row>
    <row r="76" spans="1:45" s="1775" customFormat="1" ht="89.25" customHeight="1">
      <c r="A76" s="1290"/>
      <c r="B76" s="1290"/>
      <c r="C76" s="1290"/>
      <c r="D76" s="1290"/>
      <c r="E76" s="2897" t="s">
        <v>115</v>
      </c>
      <c r="F76" s="2897"/>
      <c r="G76" s="2897"/>
      <c r="H76" s="2897"/>
      <c r="I76" s="2899"/>
      <c r="J76" s="2898" t="str">
        <f>I75&amp;".1"</f>
        <v>3.1.1.1.1.1</v>
      </c>
      <c r="K76" s="1290"/>
      <c r="L76" s="1296" t="s">
        <v>451</v>
      </c>
      <c r="M76" s="1293"/>
      <c r="N76" s="1293"/>
      <c r="O76" s="1702"/>
      <c r="P76" s="2900"/>
      <c r="Q76" s="2900">
        <v>1</v>
      </c>
      <c r="R76" s="294"/>
      <c r="S76" s="2003" t="str">
        <f>$J76</f>
        <v>3.1.1.1.1.1</v>
      </c>
      <c r="T76" s="224" t="s">
        <v>452</v>
      </c>
      <c r="U76" s="238"/>
      <c r="V76" s="2884"/>
      <c r="W76" s="2885"/>
      <c r="X76" s="2885"/>
      <c r="Y76" s="2885"/>
      <c r="Z76" s="2885"/>
      <c r="AA76" s="2885"/>
      <c r="AB76" s="2885"/>
      <c r="AC76" s="2886"/>
      <c r="AD76" s="2884" t="s">
        <v>494</v>
      </c>
      <c r="AE76" s="2885"/>
      <c r="AF76" s="2885"/>
      <c r="AG76" s="2885"/>
      <c r="AH76" s="2885"/>
      <c r="AI76" s="2885"/>
      <c r="AJ76" s="2885"/>
      <c r="AK76" s="2885"/>
      <c r="AL76" s="2886"/>
      <c r="AM76" s="1185" t="s">
        <v>453</v>
      </c>
      <c r="AN76" s="1569"/>
      <c r="AO76" s="1551"/>
      <c r="AP76" s="1551" t="str">
        <f t="shared" si="2"/>
        <v>Группа потребителей</v>
      </c>
      <c r="AQ76" s="1551"/>
      <c r="AR76" s="1551"/>
      <c r="AS76" s="1562">
        <v>0</v>
      </c>
    </row>
    <row r="77" spans="1:45" s="1775" customFormat="1" ht="21" customHeight="1">
      <c r="A77" s="1290"/>
      <c r="B77" s="1290"/>
      <c r="C77" s="1290"/>
      <c r="D77" s="1290"/>
      <c r="E77" s="2897" t="s">
        <v>115</v>
      </c>
      <c r="F77" s="2897"/>
      <c r="G77" s="2897"/>
      <c r="H77" s="2897"/>
      <c r="I77" s="2899"/>
      <c r="J77" s="2899"/>
      <c r="K77" s="2898" t="str">
        <f>J76&amp;".1"</f>
        <v>3.1.1.1.1.1.1</v>
      </c>
      <c r="L77" s="1296" t="s">
        <v>454</v>
      </c>
      <c r="M77" s="1293"/>
      <c r="N77" s="1293"/>
      <c r="O77" s="1293"/>
      <c r="P77" s="2900"/>
      <c r="Q77" s="2900"/>
      <c r="R77" s="294">
        <v>1</v>
      </c>
      <c r="S77" s="2003" t="str">
        <f>$K77</f>
        <v>3.1.1.1.1.1.1</v>
      </c>
      <c r="T77" s="1274" t="s">
        <v>493</v>
      </c>
      <c r="U77" s="238"/>
      <c r="V77" s="688"/>
      <c r="W77" s="263"/>
      <c r="X77" s="688"/>
      <c r="Y77" s="1184"/>
      <c r="Z77" s="2901"/>
      <c r="AA77" s="2768" t="s">
        <v>71</v>
      </c>
      <c r="AB77" s="2901"/>
      <c r="AC77" s="2768" t="s">
        <v>71</v>
      </c>
      <c r="AD77" s="688">
        <v>4770.4399999999996</v>
      </c>
      <c r="AE77" s="263"/>
      <c r="AF77" s="688"/>
      <c r="AG77" s="1184"/>
      <c r="AH77" s="2901" t="s">
        <v>22</v>
      </c>
      <c r="AI77" s="2768" t="s">
        <v>71</v>
      </c>
      <c r="AJ77" s="2901" t="s">
        <v>26</v>
      </c>
      <c r="AK77" s="2768" t="s">
        <v>71</v>
      </c>
      <c r="AL77" s="263"/>
      <c r="AM77" s="2919" t="s">
        <v>455</v>
      </c>
      <c r="AN77" s="1569" t="e">
        <f ca="1">STRCHECKDATE(V78:AL78)</f>
        <v>#NAME?</v>
      </c>
      <c r="AO77" s="1551"/>
      <c r="AP77" s="1551" t="str">
        <f t="shared" si="2"/>
        <v>вода</v>
      </c>
      <c r="AQ77" s="1551"/>
      <c r="AR77" s="1551"/>
      <c r="AS77" s="1562">
        <v>0</v>
      </c>
    </row>
    <row r="78" spans="1:45" s="1775" customFormat="1" ht="0.75" customHeight="1">
      <c r="A78" s="1290"/>
      <c r="B78" s="1290"/>
      <c r="C78" s="1290"/>
      <c r="D78" s="1290"/>
      <c r="E78" s="2897" t="s">
        <v>115</v>
      </c>
      <c r="F78" s="2897"/>
      <c r="G78" s="2897"/>
      <c r="H78" s="2897"/>
      <c r="I78" s="2899"/>
      <c r="J78" s="2899"/>
      <c r="K78" s="2898"/>
      <c r="L78" s="1296"/>
      <c r="M78" s="1293"/>
      <c r="N78" s="1293"/>
      <c r="O78" s="1293"/>
      <c r="P78" s="2900"/>
      <c r="Q78" s="2900"/>
      <c r="R78" s="294"/>
      <c r="S78" s="2010"/>
      <c r="T78" s="238"/>
      <c r="U78" s="238"/>
      <c r="V78" s="263"/>
      <c r="W78" s="263"/>
      <c r="X78" s="263"/>
      <c r="Y78" s="266" t="str">
        <f>Z77&amp;"-"&amp;AB77</f>
        <v>-</v>
      </c>
      <c r="Z78" s="2902"/>
      <c r="AA78" s="2768"/>
      <c r="AB78" s="2902"/>
      <c r="AC78" s="2768"/>
      <c r="AD78" s="263"/>
      <c r="AE78" s="263"/>
      <c r="AF78" s="263"/>
      <c r="AG78" s="266" t="str">
        <f>AH77&amp;"-"&amp;AJ77</f>
        <v>01.01.2025-31.12.2025</v>
      </c>
      <c r="AH78" s="2902"/>
      <c r="AI78" s="2768"/>
      <c r="AJ78" s="2902"/>
      <c r="AK78" s="2768"/>
      <c r="AL78" s="263"/>
      <c r="AM78" s="2920"/>
      <c r="AN78" s="1569"/>
      <c r="AO78" s="1551"/>
      <c r="AP78" s="1551" t="str">
        <f t="shared" si="2"/>
        <v/>
      </c>
      <c r="AQ78" s="1551"/>
      <c r="AR78" s="1551"/>
      <c r="AS78" s="1562">
        <v>0</v>
      </c>
    </row>
    <row r="79" spans="1:45" s="1775" customFormat="1" ht="183" customHeight="1">
      <c r="A79" s="1290"/>
      <c r="B79" s="1290"/>
      <c r="C79" s="1290"/>
      <c r="D79" s="1290"/>
      <c r="E79" s="2897" t="s">
        <v>115</v>
      </c>
      <c r="F79" s="2897"/>
      <c r="G79" s="2897"/>
      <c r="H79" s="2897"/>
      <c r="I79" s="2899"/>
      <c r="J79" s="2898"/>
      <c r="K79" s="1290"/>
      <c r="L79" s="1296"/>
      <c r="M79" s="1293"/>
      <c r="N79" s="1293"/>
      <c r="O79" s="1702"/>
      <c r="P79" s="2900"/>
      <c r="Q79" s="2900"/>
      <c r="R79" s="293"/>
      <c r="S79" s="2134"/>
      <c r="T79" s="2135" t="s">
        <v>456</v>
      </c>
      <c r="U79" s="2136"/>
      <c r="V79" s="2137"/>
      <c r="W79" s="2138"/>
      <c r="X79" s="2139"/>
      <c r="Y79" s="2140"/>
      <c r="Z79" s="2141"/>
      <c r="AA79" s="2142"/>
      <c r="AB79" s="2143"/>
      <c r="AC79" s="2144"/>
      <c r="AD79" s="2145"/>
      <c r="AE79" s="2146"/>
      <c r="AF79" s="2147"/>
      <c r="AG79" s="2148"/>
      <c r="AH79" s="2149"/>
      <c r="AI79" s="2150"/>
      <c r="AJ79" s="2151"/>
      <c r="AK79" s="2152"/>
      <c r="AL79" s="2153"/>
      <c r="AM79" s="2921"/>
      <c r="AN79" s="1569"/>
      <c r="AO79" s="1551"/>
      <c r="AP79" s="1551" t="str">
        <f t="shared" si="2"/>
        <v>Добавить вид теплоносителя (параметры теплоносителя)</v>
      </c>
      <c r="AQ79" s="1551"/>
      <c r="AR79" s="1551"/>
      <c r="AS79" s="1562">
        <v>0</v>
      </c>
    </row>
    <row r="80" spans="1:45" s="1775" customFormat="1" ht="15" customHeight="1">
      <c r="A80" s="1290"/>
      <c r="B80" s="1290"/>
      <c r="C80" s="1290"/>
      <c r="D80" s="1290"/>
      <c r="E80" s="2897" t="s">
        <v>115</v>
      </c>
      <c r="F80" s="2897"/>
      <c r="G80" s="2897"/>
      <c r="H80" s="2897"/>
      <c r="I80" s="2898"/>
      <c r="J80" s="1290"/>
      <c r="K80" s="1290"/>
      <c r="L80" s="1296"/>
      <c r="M80" s="1293"/>
      <c r="N80" s="1702"/>
      <c r="O80" s="1702"/>
      <c r="P80" s="2900"/>
      <c r="Q80" s="2006"/>
      <c r="R80" s="293"/>
      <c r="S80" s="2154"/>
      <c r="T80" s="2155" t="s">
        <v>457</v>
      </c>
      <c r="U80" s="2156"/>
      <c r="V80" s="2157"/>
      <c r="W80" s="2158"/>
      <c r="X80" s="2159"/>
      <c r="Y80" s="2160"/>
      <c r="Z80" s="2161"/>
      <c r="AA80" s="2162"/>
      <c r="AB80" s="2163"/>
      <c r="AC80" s="2164"/>
      <c r="AD80" s="2165"/>
      <c r="AE80" s="2166"/>
      <c r="AF80" s="2167"/>
      <c r="AG80" s="2168"/>
      <c r="AH80" s="2169"/>
      <c r="AI80" s="2170"/>
      <c r="AJ80" s="2171"/>
      <c r="AK80" s="2172"/>
      <c r="AL80" s="2173"/>
      <c r="AM80" s="2174"/>
      <c r="AN80" s="1569"/>
      <c r="AO80" s="1551"/>
      <c r="AP80" s="1551" t="str">
        <f t="shared" si="2"/>
        <v>Добавить группу потребителей</v>
      </c>
      <c r="AQ80" s="1551"/>
      <c r="AR80" s="1551"/>
      <c r="AS80" s="1562">
        <v>0</v>
      </c>
    </row>
    <row r="81" spans="1:45" s="1775" customFormat="1" ht="14.25" customHeight="1">
      <c r="A81" s="1290"/>
      <c r="B81" s="1290"/>
      <c r="C81" s="1290"/>
      <c r="D81" s="1290"/>
      <c r="E81" s="2897" t="s">
        <v>115</v>
      </c>
      <c r="F81" s="2897"/>
      <c r="G81" s="2897"/>
      <c r="H81" s="2896"/>
      <c r="I81" s="1290"/>
      <c r="J81" s="1290"/>
      <c r="K81" s="1290"/>
      <c r="L81" s="1296"/>
      <c r="M81" s="1292"/>
      <c r="N81" s="1292"/>
      <c r="O81" s="1293"/>
      <c r="P81" s="1748"/>
      <c r="Q81" s="312"/>
      <c r="R81" s="292"/>
      <c r="S81" s="2175"/>
      <c r="T81" s="2176" t="s">
        <v>458</v>
      </c>
      <c r="U81" s="2177"/>
      <c r="V81" s="2178"/>
      <c r="W81" s="2179"/>
      <c r="X81" s="2180"/>
      <c r="Y81" s="2181"/>
      <c r="Z81" s="2182"/>
      <c r="AA81" s="2183"/>
      <c r="AB81" s="2184"/>
      <c r="AC81" s="2185"/>
      <c r="AD81" s="2186"/>
      <c r="AE81" s="2187"/>
      <c r="AF81" s="2188"/>
      <c r="AG81" s="2189"/>
      <c r="AH81" s="2190"/>
      <c r="AI81" s="2191"/>
      <c r="AJ81" s="2192"/>
      <c r="AK81" s="2193"/>
      <c r="AL81" s="2194"/>
      <c r="AM81" s="2195"/>
      <c r="AN81" s="1569"/>
      <c r="AO81" s="1551"/>
      <c r="AP81" s="1551" t="str">
        <f t="shared" si="2"/>
        <v>Добавить схему подключения</v>
      </c>
      <c r="AQ81" s="1551"/>
      <c r="AR81" s="1551"/>
      <c r="AS81" s="1562">
        <v>0</v>
      </c>
    </row>
    <row r="82" spans="1:45" s="559" customFormat="1" ht="0.75" customHeight="1">
      <c r="A82" s="1270"/>
      <c r="B82" s="1270"/>
      <c r="C82" s="1270"/>
      <c r="D82" s="1270"/>
      <c r="E82" s="2897" t="s">
        <v>115</v>
      </c>
      <c r="F82" s="2897"/>
      <c r="G82" s="2896"/>
      <c r="H82" s="1270"/>
      <c r="I82" s="1270"/>
      <c r="J82" s="1270"/>
      <c r="K82" s="1270"/>
      <c r="L82" s="1472"/>
      <c r="M82" s="1242"/>
      <c r="N82" s="1242"/>
      <c r="O82" s="1569"/>
      <c r="P82" s="1243"/>
      <c r="Q82" s="1271"/>
      <c r="R82" s="1243"/>
      <c r="S82" s="1245"/>
      <c r="T82" s="1246" t="s">
        <v>174</v>
      </c>
      <c r="U82" s="1247"/>
      <c r="V82" s="1247"/>
      <c r="W82" s="1247"/>
      <c r="X82" s="1247"/>
      <c r="Y82" s="1247"/>
      <c r="Z82" s="1247"/>
      <c r="AA82" s="1247"/>
      <c r="AB82" s="1247"/>
      <c r="AC82" s="1247"/>
      <c r="AD82" s="1247"/>
      <c r="AE82" s="1247"/>
      <c r="AF82" s="1247"/>
      <c r="AG82" s="1247"/>
      <c r="AH82" s="1247"/>
      <c r="AI82" s="1247"/>
      <c r="AJ82" s="1247"/>
      <c r="AK82" s="1247"/>
      <c r="AL82" s="1247"/>
      <c r="AM82" s="1247"/>
      <c r="AN82" s="1569"/>
      <c r="AO82" s="1551"/>
      <c r="AP82" s="1551" t="str">
        <f t="shared" si="2"/>
        <v>Добавить источник для дифференциации</v>
      </c>
      <c r="AQ82" s="1551"/>
      <c r="AR82" s="1551"/>
      <c r="AS82" s="1569">
        <v>0</v>
      </c>
    </row>
    <row r="83" spans="1:45" s="559" customFormat="1" ht="0.75" customHeight="1">
      <c r="A83" s="1270"/>
      <c r="B83" s="1270"/>
      <c r="C83" s="1270"/>
      <c r="D83" s="1270"/>
      <c r="E83" s="2897" t="s">
        <v>115</v>
      </c>
      <c r="F83" s="2896"/>
      <c r="G83" s="1270"/>
      <c r="H83" s="1270"/>
      <c r="I83" s="1270"/>
      <c r="J83" s="1270"/>
      <c r="K83" s="1270"/>
      <c r="L83" s="1472"/>
      <c r="M83" s="1248"/>
      <c r="N83" s="1248"/>
      <c r="O83" s="1569"/>
      <c r="P83" s="1243"/>
      <c r="Q83" s="1271"/>
      <c r="R83" s="1243"/>
      <c r="S83" s="1249"/>
      <c r="T83" s="1250" t="s">
        <v>176</v>
      </c>
      <c r="U83" s="1251"/>
      <c r="V83" s="1251"/>
      <c r="W83" s="1251"/>
      <c r="X83" s="1251"/>
      <c r="Y83" s="1251"/>
      <c r="Z83" s="1251"/>
      <c r="AA83" s="1251"/>
      <c r="AB83" s="1251"/>
      <c r="AC83" s="1251"/>
      <c r="AD83" s="1251"/>
      <c r="AE83" s="1251"/>
      <c r="AF83" s="1251"/>
      <c r="AG83" s="1251"/>
      <c r="AH83" s="1251"/>
      <c r="AI83" s="1251"/>
      <c r="AJ83" s="1251"/>
      <c r="AK83" s="1251"/>
      <c r="AL83" s="1251"/>
      <c r="AM83" s="1251"/>
      <c r="AN83" s="1569"/>
      <c r="AO83" s="1551"/>
      <c r="AP83" s="1551" t="str">
        <f t="shared" si="2"/>
        <v>Добавить централизованную систему для дифференциации</v>
      </c>
      <c r="AQ83" s="1551"/>
      <c r="AR83" s="1551"/>
      <c r="AS83" s="1569">
        <v>0</v>
      </c>
    </row>
    <row r="84" spans="1:45" s="559" customFormat="1" ht="0.75" customHeight="1">
      <c r="A84" s="1270"/>
      <c r="B84" s="1270"/>
      <c r="C84" s="1270"/>
      <c r="D84" s="1270"/>
      <c r="E84" s="2896" t="s">
        <v>115</v>
      </c>
      <c r="F84" s="1270"/>
      <c r="G84" s="1270"/>
      <c r="H84" s="1270"/>
      <c r="I84" s="1270"/>
      <c r="J84" s="1270"/>
      <c r="K84" s="1270"/>
      <c r="L84" s="1472"/>
      <c r="M84" s="1248"/>
      <c r="N84" s="1248"/>
      <c r="O84" s="1569"/>
      <c r="P84" s="1243"/>
      <c r="Q84" s="1271"/>
      <c r="R84" s="1243"/>
      <c r="S84" s="1249"/>
      <c r="T84" s="1252" t="s">
        <v>178</v>
      </c>
      <c r="U84" s="1251"/>
      <c r="V84" s="1251"/>
      <c r="W84" s="1251"/>
      <c r="X84" s="1251"/>
      <c r="Y84" s="1251"/>
      <c r="Z84" s="1251"/>
      <c r="AA84" s="1251"/>
      <c r="AB84" s="1251"/>
      <c r="AC84" s="1251"/>
      <c r="AD84" s="1251"/>
      <c r="AE84" s="1251"/>
      <c r="AF84" s="1251"/>
      <c r="AG84" s="1251"/>
      <c r="AH84" s="1251"/>
      <c r="AI84" s="1251"/>
      <c r="AJ84" s="1251"/>
      <c r="AK84" s="1251"/>
      <c r="AL84" s="1251"/>
      <c r="AM84" s="1251"/>
      <c r="AN84" s="1569"/>
      <c r="AO84" s="1551"/>
      <c r="AP84" s="1551" t="str">
        <f t="shared" si="2"/>
        <v>Добавить территорию для дифференциации</v>
      </c>
      <c r="AQ84" s="1551"/>
      <c r="AR84" s="1551"/>
      <c r="AS84" s="1569">
        <v>0</v>
      </c>
    </row>
    <row r="85" spans="1:45" s="1775" customFormat="1" ht="21" customHeight="1">
      <c r="A85" s="1290" t="s">
        <v>188</v>
      </c>
      <c r="B85" s="1290"/>
      <c r="C85" s="1290"/>
      <c r="D85" s="1290"/>
      <c r="E85" s="2896" t="s">
        <v>96</v>
      </c>
      <c r="F85" s="1290"/>
      <c r="G85" s="1290"/>
      <c r="H85" s="1290"/>
      <c r="I85" s="1290"/>
      <c r="J85" s="1290"/>
      <c r="K85" s="1290"/>
      <c r="L85" s="1296"/>
      <c r="M85" s="1292"/>
      <c r="N85" s="1292"/>
      <c r="O85" s="1292"/>
      <c r="P85" s="2007"/>
      <c r="Q85" s="1748"/>
      <c r="R85" s="292"/>
      <c r="S85" s="2003" t="str">
        <f>INDEX(PT_DIFFERENTIATION_NUM_NTAR,MATCH(A85,PT_DIFFERENTIATION_NTAR_ID,0))</f>
        <v>4</v>
      </c>
      <c r="T85" s="1452" t="s">
        <v>128</v>
      </c>
      <c r="U85" s="238"/>
      <c r="V85" s="2890"/>
      <c r="W85" s="2891"/>
      <c r="X85" s="2891"/>
      <c r="Y85" s="2891"/>
      <c r="Z85" s="2891"/>
      <c r="AA85" s="2891"/>
      <c r="AB85" s="2891"/>
      <c r="AC85" s="2892"/>
      <c r="AD85" s="2890" t="str">
        <f>INDEX(PT_DIFFERENTIATION_NTAR,MATCH(A85,PT_DIFFERENTIATION_NTAR_ID,0))</f>
        <v>Тарифы на тепловую энергию, поставляемую потребителям г. Тюмени от котельной, расположенной по адресу: г.Тюмень, ул. Луначарского, 18, строение 1 (Котельная № 7)</v>
      </c>
      <c r="AE85" s="2891"/>
      <c r="AF85" s="2891"/>
      <c r="AG85" s="2891"/>
      <c r="AH85" s="2891"/>
      <c r="AI85" s="2891"/>
      <c r="AJ85" s="2891"/>
      <c r="AK85" s="2891"/>
      <c r="AL85" s="2892"/>
      <c r="AM85" s="1185" t="s">
        <v>441</v>
      </c>
      <c r="AN85" s="1569"/>
      <c r="AO85" s="1551"/>
      <c r="AP85" s="1551" t="str">
        <f t="shared" si="2"/>
        <v>Наименование тарифа</v>
      </c>
      <c r="AQ85" s="1551"/>
      <c r="AR85" s="1551"/>
      <c r="AS85" s="1562">
        <v>0</v>
      </c>
    </row>
    <row r="86" spans="1:45" s="1775" customFormat="1" ht="21" customHeight="1">
      <c r="A86" s="1290"/>
      <c r="B86" s="1290" t="s">
        <v>189</v>
      </c>
      <c r="C86" s="1290"/>
      <c r="D86" s="1290"/>
      <c r="E86" s="2897" t="s">
        <v>95</v>
      </c>
      <c r="F86" s="2896">
        <v>1</v>
      </c>
      <c r="G86" s="1290"/>
      <c r="H86" s="1290"/>
      <c r="I86" s="1290"/>
      <c r="J86" s="1290"/>
      <c r="K86" s="1290"/>
      <c r="L86" s="1296"/>
      <c r="M86" s="1292"/>
      <c r="N86" s="1292"/>
      <c r="O86" s="1292"/>
      <c r="P86" s="2000"/>
      <c r="Q86" s="289"/>
      <c r="R86" s="290"/>
      <c r="S86" s="2003" t="str">
        <f>INDEX(PT_DIFFERENTIATION_NUM_TER,MATCH(B86,PT_DIFFERENTIATION_TER_ID,0))</f>
        <v>4.1</v>
      </c>
      <c r="T86" s="1449" t="s">
        <v>442</v>
      </c>
      <c r="U86" s="238"/>
      <c r="V86" s="2890"/>
      <c r="W86" s="2891"/>
      <c r="X86" s="2891"/>
      <c r="Y86" s="2891"/>
      <c r="Z86" s="2891"/>
      <c r="AA86" s="2891"/>
      <c r="AB86" s="2891"/>
      <c r="AC86" s="2892"/>
      <c r="AD86" s="2890" t="str">
        <f>INDEX(PT_DIFFERENTIATION_TER,MATCH(B86,PT_DIFFERENTIATION_TER_ID,0))</f>
        <v>без дифференциации</v>
      </c>
      <c r="AE86" s="2891"/>
      <c r="AF86" s="2891"/>
      <c r="AG86" s="2891"/>
      <c r="AH86" s="2891"/>
      <c r="AI86" s="2891"/>
      <c r="AJ86" s="2891"/>
      <c r="AK86" s="2891"/>
      <c r="AL86" s="2892"/>
      <c r="AM86" s="1185" t="s">
        <v>443</v>
      </c>
      <c r="AN86" s="1569"/>
      <c r="AO86" s="1551"/>
      <c r="AP86" s="1551" t="str">
        <f t="shared" si="2"/>
        <v>Территория действия тарифа</v>
      </c>
      <c r="AQ86" s="1551"/>
      <c r="AR86" s="1551"/>
      <c r="AS86" s="1562">
        <v>0</v>
      </c>
    </row>
    <row r="87" spans="1:45" s="1775" customFormat="1" ht="23.25" customHeight="1">
      <c r="A87" s="1290"/>
      <c r="B87" s="1290"/>
      <c r="C87" s="1290" t="s">
        <v>190</v>
      </c>
      <c r="D87" s="1290"/>
      <c r="E87" s="2897" t="s">
        <v>95</v>
      </c>
      <c r="F87" s="2897"/>
      <c r="G87" s="2896">
        <v>1</v>
      </c>
      <c r="H87" s="1290"/>
      <c r="I87" s="1290"/>
      <c r="J87" s="1290"/>
      <c r="K87" s="1290"/>
      <c r="L87" s="1296"/>
      <c r="M87" s="1292"/>
      <c r="N87" s="1292"/>
      <c r="O87" s="1292"/>
      <c r="P87" s="291"/>
      <c r="Q87" s="289"/>
      <c r="R87" s="290"/>
      <c r="S87" s="2003" t="str">
        <f>INDEX(PT_DIFFERENTIATION_NUM_CS,MATCH(C87,PT_DIFFERENTIATION_CS_ID,0))</f>
        <v>4.1.1</v>
      </c>
      <c r="T87" s="247" t="s">
        <v>444</v>
      </c>
      <c r="U87" s="238"/>
      <c r="V87" s="2890"/>
      <c r="W87" s="2891"/>
      <c r="X87" s="2891"/>
      <c r="Y87" s="2891"/>
      <c r="Z87" s="2891"/>
      <c r="AA87" s="2891"/>
      <c r="AB87" s="2891"/>
      <c r="AC87" s="2892"/>
      <c r="AD87" s="2890" t="str">
        <f>INDEX(PT_DIFFERENTIATION_CS,MATCH(C87,PT_DIFFERENTIATION_CS_ID,0))</f>
        <v>без дифференциации</v>
      </c>
      <c r="AE87" s="2891"/>
      <c r="AF87" s="2891"/>
      <c r="AG87" s="2891"/>
      <c r="AH87" s="2891"/>
      <c r="AI87" s="2891"/>
      <c r="AJ87" s="2891"/>
      <c r="AK87" s="2891"/>
      <c r="AL87" s="2892"/>
      <c r="AM87" s="1185" t="s">
        <v>445</v>
      </c>
      <c r="AN87" s="1569"/>
      <c r="AO87" s="1551"/>
      <c r="AP87" s="1551" t="str">
        <f t="shared" si="2"/>
        <v xml:space="preserve">Наименование системы теплоснабжения </v>
      </c>
      <c r="AQ87" s="1551"/>
      <c r="AR87" s="1551"/>
      <c r="AS87" s="1562">
        <v>0</v>
      </c>
    </row>
    <row r="88" spans="1:45" s="1775" customFormat="1" ht="21" customHeight="1">
      <c r="A88" s="1290"/>
      <c r="B88" s="1290"/>
      <c r="C88" s="1290"/>
      <c r="D88" s="1290" t="s">
        <v>191</v>
      </c>
      <c r="E88" s="2897" t="s">
        <v>95</v>
      </c>
      <c r="F88" s="2897"/>
      <c r="G88" s="2897"/>
      <c r="H88" s="2896">
        <v>1</v>
      </c>
      <c r="I88" s="1290"/>
      <c r="J88" s="1290"/>
      <c r="K88" s="1290"/>
      <c r="L88" s="1296"/>
      <c r="M88" s="1292"/>
      <c r="N88" s="1292"/>
      <c r="O88" s="1292"/>
      <c r="P88" s="291"/>
      <c r="Q88" s="289"/>
      <c r="R88" s="290"/>
      <c r="S88" s="2003" t="str">
        <f>INDEX(PT_DIFFERENTIATION_NUM_IST_TE,MATCH(D88,PT_DIFFERENTIATION_IST_TE_ID,0))</f>
        <v>4.1.1.1</v>
      </c>
      <c r="T88" s="248" t="s">
        <v>446</v>
      </c>
      <c r="U88" s="238"/>
      <c r="V88" s="2890"/>
      <c r="W88" s="2891"/>
      <c r="X88" s="2891"/>
      <c r="Y88" s="2891"/>
      <c r="Z88" s="2891"/>
      <c r="AA88" s="2891"/>
      <c r="AB88" s="2891"/>
      <c r="AC88" s="2892"/>
      <c r="AD88" s="2890" t="str">
        <f>INDEX(PT_DIFFERENTIATION_IST_TE,MATCH(D88,PT_DIFFERENTIATION_IST_TE_ID,0))</f>
        <v>без дифференциации</v>
      </c>
      <c r="AE88" s="2891"/>
      <c r="AF88" s="2891"/>
      <c r="AG88" s="2891"/>
      <c r="AH88" s="2891"/>
      <c r="AI88" s="2891"/>
      <c r="AJ88" s="2891"/>
      <c r="AK88" s="2891"/>
      <c r="AL88" s="2892"/>
      <c r="AM88" s="1185" t="s">
        <v>447</v>
      </c>
      <c r="AN88" s="1569"/>
      <c r="AO88" s="1551"/>
      <c r="AP88" s="1551" t="str">
        <f t="shared" si="2"/>
        <v xml:space="preserve">Источник тепловой энергии  </v>
      </c>
      <c r="AQ88" s="1551"/>
      <c r="AR88" s="1551"/>
      <c r="AS88" s="1562">
        <v>0</v>
      </c>
    </row>
    <row r="89" spans="1:45" s="1775" customFormat="1" ht="99.75" customHeight="1">
      <c r="A89" s="1290"/>
      <c r="B89" s="1290"/>
      <c r="C89" s="1290"/>
      <c r="D89" s="1290"/>
      <c r="E89" s="2897" t="s">
        <v>95</v>
      </c>
      <c r="F89" s="2897"/>
      <c r="G89" s="2897"/>
      <c r="H89" s="2897"/>
      <c r="I89" s="2898" t="str">
        <f>S88&amp;".1"</f>
        <v>4.1.1.1.1</v>
      </c>
      <c r="J89" s="1290"/>
      <c r="K89" s="1290"/>
      <c r="L89" s="1296" t="s">
        <v>448</v>
      </c>
      <c r="M89" s="1293"/>
      <c r="N89" s="1702"/>
      <c r="O89" s="1702"/>
      <c r="P89" s="2900">
        <v>1</v>
      </c>
      <c r="Q89" s="2006"/>
      <c r="R89" s="293"/>
      <c r="S89" s="2003" t="str">
        <f>$I89</f>
        <v>4.1.1.1.1</v>
      </c>
      <c r="T89" s="223" t="s">
        <v>449</v>
      </c>
      <c r="U89" s="238"/>
      <c r="V89" s="2884"/>
      <c r="W89" s="2885"/>
      <c r="X89" s="2885"/>
      <c r="Y89" s="2885"/>
      <c r="Z89" s="2885"/>
      <c r="AA89" s="2885"/>
      <c r="AB89" s="2885"/>
      <c r="AC89" s="2886"/>
      <c r="AD89" s="2884" t="s">
        <v>491</v>
      </c>
      <c r="AE89" s="2885"/>
      <c r="AF89" s="2885"/>
      <c r="AG89" s="2885"/>
      <c r="AH89" s="2885"/>
      <c r="AI89" s="2885"/>
      <c r="AJ89" s="2885"/>
      <c r="AK89" s="2885"/>
      <c r="AL89" s="2886"/>
      <c r="AM89" s="1185" t="s">
        <v>450</v>
      </c>
      <c r="AN89" s="1569"/>
      <c r="AO89" s="1551"/>
      <c r="AP89" s="1551" t="str">
        <f t="shared" si="2"/>
        <v>Схема подключения теплопотребляющей установки к коллектору источника тепловой энергии</v>
      </c>
      <c r="AQ89" s="1551"/>
      <c r="AR89" s="1551"/>
      <c r="AS89" s="1562">
        <v>0</v>
      </c>
    </row>
    <row r="90" spans="1:45" s="1775" customFormat="1" ht="21" customHeight="1">
      <c r="A90" s="1290"/>
      <c r="B90" s="1290"/>
      <c r="C90" s="1290"/>
      <c r="D90" s="1290"/>
      <c r="E90" s="2897" t="s">
        <v>95</v>
      </c>
      <c r="F90" s="2897"/>
      <c r="G90" s="2897"/>
      <c r="H90" s="2897"/>
      <c r="I90" s="2899"/>
      <c r="J90" s="2898" t="str">
        <f>I89&amp;".1"</f>
        <v>4.1.1.1.1.1</v>
      </c>
      <c r="K90" s="1290"/>
      <c r="L90" s="1296" t="s">
        <v>451</v>
      </c>
      <c r="M90" s="1293"/>
      <c r="N90" s="1293"/>
      <c r="O90" s="1702"/>
      <c r="P90" s="2900"/>
      <c r="Q90" s="2900">
        <v>1</v>
      </c>
      <c r="R90" s="294"/>
      <c r="S90" s="2003" t="str">
        <f>$J90</f>
        <v>4.1.1.1.1.1</v>
      </c>
      <c r="T90" s="224" t="s">
        <v>452</v>
      </c>
      <c r="U90" s="238"/>
      <c r="V90" s="2884"/>
      <c r="W90" s="2885"/>
      <c r="X90" s="2885"/>
      <c r="Y90" s="2885"/>
      <c r="Z90" s="2885"/>
      <c r="AA90" s="2885"/>
      <c r="AB90" s="2885"/>
      <c r="AC90" s="2886"/>
      <c r="AD90" s="2884" t="s">
        <v>492</v>
      </c>
      <c r="AE90" s="2885"/>
      <c r="AF90" s="2885"/>
      <c r="AG90" s="2885"/>
      <c r="AH90" s="2885"/>
      <c r="AI90" s="2885"/>
      <c r="AJ90" s="2885"/>
      <c r="AK90" s="2885"/>
      <c r="AL90" s="2886"/>
      <c r="AM90" s="1185" t="s">
        <v>453</v>
      </c>
      <c r="AN90" s="1569"/>
      <c r="AO90" s="1551"/>
      <c r="AP90" s="1551" t="str">
        <f t="shared" si="2"/>
        <v>Группа потребителей</v>
      </c>
      <c r="AQ90" s="1551"/>
      <c r="AR90" s="1551"/>
      <c r="AS90" s="1562">
        <v>0</v>
      </c>
    </row>
    <row r="91" spans="1:45" s="1775" customFormat="1" ht="81" customHeight="1">
      <c r="A91" s="1290"/>
      <c r="B91" s="1290"/>
      <c r="C91" s="1290"/>
      <c r="D91" s="1290"/>
      <c r="E91" s="2897" t="s">
        <v>95</v>
      </c>
      <c r="F91" s="2897"/>
      <c r="G91" s="2897"/>
      <c r="H91" s="2897"/>
      <c r="I91" s="2899"/>
      <c r="J91" s="2899"/>
      <c r="K91" s="2898" t="str">
        <f>J90&amp;".1"</f>
        <v>4.1.1.1.1.1.1</v>
      </c>
      <c r="L91" s="1296" t="s">
        <v>454</v>
      </c>
      <c r="M91" s="1293"/>
      <c r="N91" s="1293"/>
      <c r="O91" s="1293"/>
      <c r="P91" s="2900"/>
      <c r="Q91" s="2900"/>
      <c r="R91" s="294">
        <v>1</v>
      </c>
      <c r="S91" s="2003" t="str">
        <f>$K91</f>
        <v>4.1.1.1.1.1.1</v>
      </c>
      <c r="T91" s="1274" t="s">
        <v>493</v>
      </c>
      <c r="U91" s="238"/>
      <c r="V91" s="688"/>
      <c r="W91" s="263"/>
      <c r="X91" s="688"/>
      <c r="Y91" s="1184"/>
      <c r="Z91" s="2901"/>
      <c r="AA91" s="2768" t="s">
        <v>71</v>
      </c>
      <c r="AB91" s="2901"/>
      <c r="AC91" s="2768" t="s">
        <v>71</v>
      </c>
      <c r="AD91" s="688">
        <v>4153.3500000000004</v>
      </c>
      <c r="AE91" s="263"/>
      <c r="AF91" s="688"/>
      <c r="AG91" s="1184"/>
      <c r="AH91" s="2901" t="s">
        <v>22</v>
      </c>
      <c r="AI91" s="2768" t="s">
        <v>71</v>
      </c>
      <c r="AJ91" s="2901" t="s">
        <v>26</v>
      </c>
      <c r="AK91" s="2768" t="s">
        <v>71</v>
      </c>
      <c r="AL91" s="263"/>
      <c r="AM91" s="2919" t="s">
        <v>455</v>
      </c>
      <c r="AN91" s="1569" t="e">
        <f ca="1">STRCHECKDATE(V92:AL92)</f>
        <v>#NAME?</v>
      </c>
      <c r="AO91" s="1551"/>
      <c r="AP91" s="1551" t="str">
        <f t="shared" si="2"/>
        <v>вода</v>
      </c>
      <c r="AQ91" s="1551"/>
      <c r="AR91" s="1551"/>
      <c r="AS91" s="1562">
        <v>0</v>
      </c>
    </row>
    <row r="92" spans="1:45" s="1775" customFormat="1" ht="111" customHeight="1">
      <c r="A92" s="1290"/>
      <c r="B92" s="1290"/>
      <c r="C92" s="1290"/>
      <c r="D92" s="1290"/>
      <c r="E92" s="2897" t="s">
        <v>95</v>
      </c>
      <c r="F92" s="2897"/>
      <c r="G92" s="2897"/>
      <c r="H92" s="2897"/>
      <c r="I92" s="2899"/>
      <c r="J92" s="2899"/>
      <c r="K92" s="2898"/>
      <c r="L92" s="1296"/>
      <c r="M92" s="1293"/>
      <c r="N92" s="1293"/>
      <c r="O92" s="1293"/>
      <c r="P92" s="2900"/>
      <c r="Q92" s="2900"/>
      <c r="R92" s="294"/>
      <c r="S92" s="2010"/>
      <c r="T92" s="238"/>
      <c r="U92" s="238"/>
      <c r="V92" s="263"/>
      <c r="W92" s="263"/>
      <c r="X92" s="263"/>
      <c r="Y92" s="266" t="str">
        <f>Z91&amp;"-"&amp;AB91</f>
        <v>-</v>
      </c>
      <c r="Z92" s="2902"/>
      <c r="AA92" s="2768"/>
      <c r="AB92" s="2902"/>
      <c r="AC92" s="2768"/>
      <c r="AD92" s="263"/>
      <c r="AE92" s="263"/>
      <c r="AF92" s="263"/>
      <c r="AG92" s="266" t="str">
        <f>AH91&amp;"-"&amp;AJ91</f>
        <v>01.01.2025-31.12.2025</v>
      </c>
      <c r="AH92" s="2902"/>
      <c r="AI92" s="2768"/>
      <c r="AJ92" s="2902"/>
      <c r="AK92" s="2768"/>
      <c r="AL92" s="263"/>
      <c r="AM92" s="2920"/>
      <c r="AN92" s="1569"/>
      <c r="AO92" s="1551"/>
      <c r="AP92" s="1551" t="str">
        <f t="shared" si="2"/>
        <v/>
      </c>
      <c r="AQ92" s="1551"/>
      <c r="AR92" s="1551"/>
      <c r="AS92" s="1562">
        <v>0</v>
      </c>
    </row>
    <row r="93" spans="1:45" s="1775" customFormat="1" ht="15" customHeight="1">
      <c r="A93" s="1290"/>
      <c r="B93" s="1290"/>
      <c r="C93" s="1290"/>
      <c r="D93" s="1290"/>
      <c r="E93" s="2897" t="s">
        <v>95</v>
      </c>
      <c r="F93" s="2897"/>
      <c r="G93" s="2897"/>
      <c r="H93" s="2897"/>
      <c r="I93" s="2899"/>
      <c r="J93" s="2898"/>
      <c r="K93" s="1290"/>
      <c r="L93" s="1296"/>
      <c r="M93" s="1293"/>
      <c r="N93" s="1293"/>
      <c r="O93" s="1702"/>
      <c r="P93" s="2900"/>
      <c r="Q93" s="2900"/>
      <c r="R93" s="293"/>
      <c r="S93" s="2196"/>
      <c r="T93" s="2197" t="s">
        <v>456</v>
      </c>
      <c r="U93" s="2198"/>
      <c r="V93" s="2199"/>
      <c r="W93" s="2200"/>
      <c r="X93" s="2201"/>
      <c r="Y93" s="2202"/>
      <c r="Z93" s="2203"/>
      <c r="AA93" s="2204"/>
      <c r="AB93" s="2205"/>
      <c r="AC93" s="2206"/>
      <c r="AD93" s="2207"/>
      <c r="AE93" s="2208"/>
      <c r="AF93" s="2209"/>
      <c r="AG93" s="2210"/>
      <c r="AH93" s="2211"/>
      <c r="AI93" s="2212"/>
      <c r="AJ93" s="2213"/>
      <c r="AK93" s="2214"/>
      <c r="AL93" s="2215"/>
      <c r="AM93" s="2921"/>
      <c r="AN93" s="1569"/>
      <c r="AO93" s="1551"/>
      <c r="AP93" s="1551" t="str">
        <f t="shared" si="2"/>
        <v>Добавить вид теплоносителя (параметры теплоносителя)</v>
      </c>
      <c r="AQ93" s="1551"/>
      <c r="AR93" s="1551"/>
      <c r="AS93" s="1562">
        <v>0</v>
      </c>
    </row>
    <row r="94" spans="1:45" s="1775" customFormat="1" ht="15" customHeight="1">
      <c r="A94" s="1290"/>
      <c r="B94" s="1290"/>
      <c r="C94" s="1290"/>
      <c r="D94" s="1290"/>
      <c r="E94" s="2897" t="s">
        <v>95</v>
      </c>
      <c r="F94" s="2897"/>
      <c r="G94" s="2897"/>
      <c r="H94" s="2897"/>
      <c r="I94" s="2898"/>
      <c r="J94" s="1290"/>
      <c r="K94" s="1290"/>
      <c r="L94" s="1296"/>
      <c r="M94" s="1293"/>
      <c r="N94" s="1702"/>
      <c r="O94" s="1702"/>
      <c r="P94" s="2900"/>
      <c r="Q94" s="2006"/>
      <c r="R94" s="293"/>
      <c r="S94" s="2216"/>
      <c r="T94" s="2217" t="s">
        <v>457</v>
      </c>
      <c r="U94" s="2218"/>
      <c r="V94" s="2219"/>
      <c r="W94" s="2220"/>
      <c r="X94" s="2221"/>
      <c r="Y94" s="2222"/>
      <c r="Z94" s="2223"/>
      <c r="AA94" s="2224"/>
      <c r="AB94" s="2225"/>
      <c r="AC94" s="2226"/>
      <c r="AD94" s="2227"/>
      <c r="AE94" s="2228"/>
      <c r="AF94" s="2229"/>
      <c r="AG94" s="2230"/>
      <c r="AH94" s="2231"/>
      <c r="AI94" s="2232"/>
      <c r="AJ94" s="2233"/>
      <c r="AK94" s="2234"/>
      <c r="AL94" s="2235"/>
      <c r="AM94" s="2236"/>
      <c r="AN94" s="1569"/>
      <c r="AO94" s="1551"/>
      <c r="AP94" s="1551" t="str">
        <f t="shared" si="2"/>
        <v>Добавить группу потребителей</v>
      </c>
      <c r="AQ94" s="1551"/>
      <c r="AR94" s="1551"/>
      <c r="AS94" s="1562">
        <v>0</v>
      </c>
    </row>
    <row r="95" spans="1:45" s="1775" customFormat="1" ht="14.25" customHeight="1">
      <c r="A95" s="1290"/>
      <c r="B95" s="1290"/>
      <c r="C95" s="1290"/>
      <c r="D95" s="1290"/>
      <c r="E95" s="2897" t="s">
        <v>95</v>
      </c>
      <c r="F95" s="2897"/>
      <c r="G95" s="2897"/>
      <c r="H95" s="2896"/>
      <c r="I95" s="1290"/>
      <c r="J95" s="1290"/>
      <c r="K95" s="1290"/>
      <c r="L95" s="1296"/>
      <c r="M95" s="1292"/>
      <c r="N95" s="1292"/>
      <c r="O95" s="1293"/>
      <c r="P95" s="1748"/>
      <c r="Q95" s="312"/>
      <c r="R95" s="292"/>
      <c r="S95" s="2237"/>
      <c r="T95" s="2238" t="s">
        <v>458</v>
      </c>
      <c r="U95" s="2239"/>
      <c r="V95" s="2240"/>
      <c r="W95" s="2241"/>
      <c r="X95" s="2242"/>
      <c r="Y95" s="2243"/>
      <c r="Z95" s="2244"/>
      <c r="AA95" s="2245"/>
      <c r="AB95" s="2246"/>
      <c r="AC95" s="2247"/>
      <c r="AD95" s="2248"/>
      <c r="AE95" s="2249"/>
      <c r="AF95" s="2250"/>
      <c r="AG95" s="2251"/>
      <c r="AH95" s="2252"/>
      <c r="AI95" s="2253"/>
      <c r="AJ95" s="2254"/>
      <c r="AK95" s="2255"/>
      <c r="AL95" s="2256"/>
      <c r="AM95" s="2257"/>
      <c r="AN95" s="1569"/>
      <c r="AO95" s="1551"/>
      <c r="AP95" s="1551" t="str">
        <f t="shared" si="2"/>
        <v>Добавить схему подключения</v>
      </c>
      <c r="AQ95" s="1551"/>
      <c r="AR95" s="1551"/>
      <c r="AS95" s="1562">
        <v>0</v>
      </c>
    </row>
    <row r="96" spans="1:45" s="559" customFormat="1" ht="0.75" customHeight="1">
      <c r="A96" s="1270"/>
      <c r="B96" s="1270"/>
      <c r="C96" s="1270"/>
      <c r="D96" s="1270"/>
      <c r="E96" s="2897" t="s">
        <v>95</v>
      </c>
      <c r="F96" s="2897"/>
      <c r="G96" s="2896"/>
      <c r="H96" s="1270"/>
      <c r="I96" s="1270"/>
      <c r="J96" s="1270"/>
      <c r="K96" s="1270"/>
      <c r="L96" s="1472"/>
      <c r="M96" s="1242"/>
      <c r="N96" s="1242"/>
      <c r="O96" s="1569"/>
      <c r="P96" s="1243"/>
      <c r="Q96" s="1271"/>
      <c r="R96" s="1243"/>
      <c r="S96" s="1245"/>
      <c r="T96" s="1246" t="s">
        <v>174</v>
      </c>
      <c r="U96" s="1247"/>
      <c r="V96" s="1247"/>
      <c r="W96" s="1247"/>
      <c r="X96" s="1247"/>
      <c r="Y96" s="1247"/>
      <c r="Z96" s="1247"/>
      <c r="AA96" s="1247"/>
      <c r="AB96" s="1247"/>
      <c r="AC96" s="1247"/>
      <c r="AD96" s="1247"/>
      <c r="AE96" s="1247"/>
      <c r="AF96" s="1247"/>
      <c r="AG96" s="1247"/>
      <c r="AH96" s="1247"/>
      <c r="AI96" s="1247"/>
      <c r="AJ96" s="1247"/>
      <c r="AK96" s="1247"/>
      <c r="AL96" s="1247"/>
      <c r="AM96" s="1247"/>
      <c r="AN96" s="1569"/>
      <c r="AO96" s="1551"/>
      <c r="AP96" s="1551" t="str">
        <f t="shared" si="2"/>
        <v>Добавить источник для дифференциации</v>
      </c>
      <c r="AQ96" s="1551"/>
      <c r="AR96" s="1551"/>
      <c r="AS96" s="1569">
        <v>0</v>
      </c>
    </row>
    <row r="97" spans="1:45" s="559" customFormat="1" ht="0.75" customHeight="1">
      <c r="A97" s="1270"/>
      <c r="B97" s="1270"/>
      <c r="C97" s="1270"/>
      <c r="D97" s="1270"/>
      <c r="E97" s="2897" t="s">
        <v>95</v>
      </c>
      <c r="F97" s="2896"/>
      <c r="G97" s="1270"/>
      <c r="H97" s="1270"/>
      <c r="I97" s="1270"/>
      <c r="J97" s="1270"/>
      <c r="K97" s="1270"/>
      <c r="L97" s="1472"/>
      <c r="M97" s="1248"/>
      <c r="N97" s="1248"/>
      <c r="O97" s="1569"/>
      <c r="P97" s="1243"/>
      <c r="Q97" s="1271"/>
      <c r="R97" s="1243"/>
      <c r="S97" s="1249"/>
      <c r="T97" s="1250" t="s">
        <v>176</v>
      </c>
      <c r="U97" s="1251"/>
      <c r="V97" s="1251"/>
      <c r="W97" s="1251"/>
      <c r="X97" s="1251"/>
      <c r="Y97" s="1251"/>
      <c r="Z97" s="1251"/>
      <c r="AA97" s="1251"/>
      <c r="AB97" s="1251"/>
      <c r="AC97" s="1251"/>
      <c r="AD97" s="1251"/>
      <c r="AE97" s="1251"/>
      <c r="AF97" s="1251"/>
      <c r="AG97" s="1251"/>
      <c r="AH97" s="1251"/>
      <c r="AI97" s="1251"/>
      <c r="AJ97" s="1251"/>
      <c r="AK97" s="1251"/>
      <c r="AL97" s="1251"/>
      <c r="AM97" s="1251"/>
      <c r="AN97" s="1569"/>
      <c r="AO97" s="1551"/>
      <c r="AP97" s="1551" t="str">
        <f t="shared" si="2"/>
        <v>Добавить централизованную систему для дифференциации</v>
      </c>
      <c r="AQ97" s="1551"/>
      <c r="AR97" s="1551"/>
      <c r="AS97" s="1569">
        <v>0</v>
      </c>
    </row>
    <row r="98" spans="1:45" s="559" customFormat="1" ht="0.75" customHeight="1">
      <c r="A98" s="1270"/>
      <c r="B98" s="1270"/>
      <c r="C98" s="1270"/>
      <c r="D98" s="1270"/>
      <c r="E98" s="2896" t="s">
        <v>95</v>
      </c>
      <c r="F98" s="1270"/>
      <c r="G98" s="1270"/>
      <c r="H98" s="1270"/>
      <c r="I98" s="1270"/>
      <c r="J98" s="1270"/>
      <c r="K98" s="1270"/>
      <c r="L98" s="1472"/>
      <c r="M98" s="1248"/>
      <c r="N98" s="1248"/>
      <c r="O98" s="1569"/>
      <c r="P98" s="1243"/>
      <c r="Q98" s="1271"/>
      <c r="R98" s="1243"/>
      <c r="S98" s="1249"/>
      <c r="T98" s="1252" t="s">
        <v>178</v>
      </c>
      <c r="U98" s="1251"/>
      <c r="V98" s="1251"/>
      <c r="W98" s="1251"/>
      <c r="X98" s="1251"/>
      <c r="Y98" s="1251"/>
      <c r="Z98" s="1251"/>
      <c r="AA98" s="1251"/>
      <c r="AB98" s="1251"/>
      <c r="AC98" s="1251"/>
      <c r="AD98" s="1251"/>
      <c r="AE98" s="1251"/>
      <c r="AF98" s="1251"/>
      <c r="AG98" s="1251"/>
      <c r="AH98" s="1251"/>
      <c r="AI98" s="1251"/>
      <c r="AJ98" s="1251"/>
      <c r="AK98" s="1251"/>
      <c r="AL98" s="1251"/>
      <c r="AM98" s="1251"/>
      <c r="AN98" s="1569"/>
      <c r="AO98" s="1551"/>
      <c r="AP98" s="1551" t="str">
        <f t="shared" si="2"/>
        <v>Добавить территорию для дифференциации</v>
      </c>
      <c r="AQ98" s="1551"/>
      <c r="AR98" s="1551"/>
      <c r="AS98" s="1569">
        <v>0</v>
      </c>
    </row>
    <row r="99" spans="1:45" s="1775" customFormat="1" ht="21" customHeight="1">
      <c r="A99" s="1290" t="s">
        <v>193</v>
      </c>
      <c r="B99" s="1290"/>
      <c r="C99" s="1290"/>
      <c r="D99" s="1290"/>
      <c r="E99" s="2896" t="s">
        <v>116</v>
      </c>
      <c r="F99" s="1290"/>
      <c r="G99" s="1290"/>
      <c r="H99" s="1290"/>
      <c r="I99" s="1290"/>
      <c r="J99" s="1290"/>
      <c r="K99" s="1290"/>
      <c r="L99" s="1296"/>
      <c r="M99" s="1292"/>
      <c r="N99" s="1292"/>
      <c r="O99" s="1292"/>
      <c r="P99" s="2007"/>
      <c r="Q99" s="1748"/>
      <c r="R99" s="292"/>
      <c r="S99" s="2003" t="str">
        <f>INDEX(PT_DIFFERENTIATION_NUM_NTAR,MATCH(A99,PT_DIFFERENTIATION_NTAR_ID,0))</f>
        <v>5</v>
      </c>
      <c r="T99" s="1452" t="s">
        <v>128</v>
      </c>
      <c r="U99" s="238"/>
      <c r="V99" s="2890"/>
      <c r="W99" s="2891"/>
      <c r="X99" s="2891"/>
      <c r="Y99" s="2891"/>
      <c r="Z99" s="2891"/>
      <c r="AA99" s="2891"/>
      <c r="AB99" s="2891"/>
      <c r="AC99" s="2892"/>
      <c r="AD99" s="2890" t="str">
        <f>INDEX(PT_DIFFERENTIATION_NTAR,MATCH(A99,PT_DIFFERENTIATION_NTAR_ID,0))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AE99" s="2891"/>
      <c r="AF99" s="2891"/>
      <c r="AG99" s="2891"/>
      <c r="AH99" s="2891"/>
      <c r="AI99" s="2891"/>
      <c r="AJ99" s="2891"/>
      <c r="AK99" s="2891"/>
      <c r="AL99" s="2892"/>
      <c r="AM99" s="1185" t="s">
        <v>441</v>
      </c>
      <c r="AN99" s="1569"/>
      <c r="AO99" s="1551"/>
      <c r="AP99" s="1551" t="str">
        <f t="shared" si="2"/>
        <v>Наименование тарифа</v>
      </c>
      <c r="AQ99" s="1551"/>
      <c r="AR99" s="1551"/>
      <c r="AS99" s="1562">
        <v>0</v>
      </c>
    </row>
    <row r="100" spans="1:45" s="1775" customFormat="1" ht="21" customHeight="1">
      <c r="A100" s="1290"/>
      <c r="B100" s="1290" t="s">
        <v>194</v>
      </c>
      <c r="C100" s="1290"/>
      <c r="D100" s="1290"/>
      <c r="E100" s="2897" t="s">
        <v>96</v>
      </c>
      <c r="F100" s="2896">
        <v>1</v>
      </c>
      <c r="G100" s="1290"/>
      <c r="H100" s="1290"/>
      <c r="I100" s="1290"/>
      <c r="J100" s="1290"/>
      <c r="K100" s="1290"/>
      <c r="L100" s="1296"/>
      <c r="M100" s="1292"/>
      <c r="N100" s="1292"/>
      <c r="O100" s="1292"/>
      <c r="P100" s="2000"/>
      <c r="Q100" s="289"/>
      <c r="R100" s="290"/>
      <c r="S100" s="2003" t="str">
        <f>INDEX(PT_DIFFERENTIATION_NUM_TER,MATCH(B100,PT_DIFFERENTIATION_TER_ID,0))</f>
        <v>5.1</v>
      </c>
      <c r="T100" s="1449" t="s">
        <v>442</v>
      </c>
      <c r="U100" s="238"/>
      <c r="V100" s="2890"/>
      <c r="W100" s="2891"/>
      <c r="X100" s="2891"/>
      <c r="Y100" s="2891"/>
      <c r="Z100" s="2891"/>
      <c r="AA100" s="2891"/>
      <c r="AB100" s="2891"/>
      <c r="AC100" s="2892"/>
      <c r="AD100" s="2890" t="str">
        <f>INDEX(PT_DIFFERENTIATION_TER,MATCH(B100,PT_DIFFERENTIATION_TER_ID,0))</f>
        <v>без дифференциации</v>
      </c>
      <c r="AE100" s="2891"/>
      <c r="AF100" s="2891"/>
      <c r="AG100" s="2891"/>
      <c r="AH100" s="2891"/>
      <c r="AI100" s="2891"/>
      <c r="AJ100" s="2891"/>
      <c r="AK100" s="2891"/>
      <c r="AL100" s="2892"/>
      <c r="AM100" s="1185" t="s">
        <v>443</v>
      </c>
      <c r="AN100" s="1569"/>
      <c r="AO100" s="1551"/>
      <c r="AP100" s="1551" t="str">
        <f t="shared" si="2"/>
        <v>Территория действия тарифа</v>
      </c>
      <c r="AQ100" s="1551"/>
      <c r="AR100" s="1551"/>
      <c r="AS100" s="1562">
        <v>0</v>
      </c>
    </row>
    <row r="101" spans="1:45" s="1775" customFormat="1" ht="23.25" customHeight="1">
      <c r="A101" s="1290"/>
      <c r="B101" s="1290"/>
      <c r="C101" s="1290" t="s">
        <v>195</v>
      </c>
      <c r="D101" s="1290"/>
      <c r="E101" s="2897" t="s">
        <v>96</v>
      </c>
      <c r="F101" s="2897"/>
      <c r="G101" s="2896">
        <v>1</v>
      </c>
      <c r="H101" s="1290"/>
      <c r="I101" s="1290"/>
      <c r="J101" s="1290"/>
      <c r="K101" s="1290"/>
      <c r="L101" s="1296"/>
      <c r="M101" s="1292"/>
      <c r="N101" s="1292"/>
      <c r="O101" s="1292"/>
      <c r="P101" s="291"/>
      <c r="Q101" s="289"/>
      <c r="R101" s="290"/>
      <c r="S101" s="2003" t="str">
        <f>INDEX(PT_DIFFERENTIATION_NUM_CS,MATCH(C101,PT_DIFFERENTIATION_CS_ID,0))</f>
        <v>5.1.1</v>
      </c>
      <c r="T101" s="247" t="s">
        <v>444</v>
      </c>
      <c r="U101" s="238"/>
      <c r="V101" s="2890"/>
      <c r="W101" s="2891"/>
      <c r="X101" s="2891"/>
      <c r="Y101" s="2891"/>
      <c r="Z101" s="2891"/>
      <c r="AA101" s="2891"/>
      <c r="AB101" s="2891"/>
      <c r="AC101" s="2892"/>
      <c r="AD101" s="2890" t="str">
        <f>INDEX(PT_DIFFERENTIATION_CS,MATCH(C101,PT_DIFFERENTIATION_CS_ID,0))</f>
        <v>без дифференциации</v>
      </c>
      <c r="AE101" s="2891"/>
      <c r="AF101" s="2891"/>
      <c r="AG101" s="2891"/>
      <c r="AH101" s="2891"/>
      <c r="AI101" s="2891"/>
      <c r="AJ101" s="2891"/>
      <c r="AK101" s="2891"/>
      <c r="AL101" s="2892"/>
      <c r="AM101" s="1185" t="s">
        <v>445</v>
      </c>
      <c r="AN101" s="1569"/>
      <c r="AO101" s="1551"/>
      <c r="AP101" s="1551" t="str">
        <f t="shared" si="2"/>
        <v xml:space="preserve">Наименование системы теплоснабжения </v>
      </c>
      <c r="AQ101" s="1551"/>
      <c r="AR101" s="1551"/>
      <c r="AS101" s="1562">
        <v>0</v>
      </c>
    </row>
    <row r="102" spans="1:45" s="1775" customFormat="1" ht="21" customHeight="1">
      <c r="A102" s="1290"/>
      <c r="B102" s="1290"/>
      <c r="C102" s="1290"/>
      <c r="D102" s="1290" t="s">
        <v>196</v>
      </c>
      <c r="E102" s="2897" t="s">
        <v>96</v>
      </c>
      <c r="F102" s="2897"/>
      <c r="G102" s="2897"/>
      <c r="H102" s="2896">
        <v>1</v>
      </c>
      <c r="I102" s="1290"/>
      <c r="J102" s="1290"/>
      <c r="K102" s="1290"/>
      <c r="L102" s="1296"/>
      <c r="M102" s="1292"/>
      <c r="N102" s="1292"/>
      <c r="O102" s="1292"/>
      <c r="P102" s="291"/>
      <c r="Q102" s="289"/>
      <c r="R102" s="290"/>
      <c r="S102" s="2003" t="str">
        <f>INDEX(PT_DIFFERENTIATION_NUM_IST_TE,MATCH(D102,PT_DIFFERENTIATION_IST_TE_ID,0))</f>
        <v>5.1.1.1</v>
      </c>
      <c r="T102" s="248" t="s">
        <v>446</v>
      </c>
      <c r="U102" s="238"/>
      <c r="V102" s="2890"/>
      <c r="W102" s="2891"/>
      <c r="X102" s="2891"/>
      <c r="Y102" s="2891"/>
      <c r="Z102" s="2891"/>
      <c r="AA102" s="2891"/>
      <c r="AB102" s="2891"/>
      <c r="AC102" s="2892"/>
      <c r="AD102" s="2890" t="str">
        <f>INDEX(PT_DIFFERENTIATION_IST_TE,MATCH(D102,PT_DIFFERENTIATION_IST_TE_ID,0))</f>
        <v>без дифференциации</v>
      </c>
      <c r="AE102" s="2891"/>
      <c r="AF102" s="2891"/>
      <c r="AG102" s="2891"/>
      <c r="AH102" s="2891"/>
      <c r="AI102" s="2891"/>
      <c r="AJ102" s="2891"/>
      <c r="AK102" s="2891"/>
      <c r="AL102" s="2892"/>
      <c r="AM102" s="1185" t="s">
        <v>447</v>
      </c>
      <c r="AN102" s="1569"/>
      <c r="AO102" s="1551"/>
      <c r="AP102" s="1551" t="str">
        <f t="shared" si="2"/>
        <v xml:space="preserve">Источник тепловой энергии  </v>
      </c>
      <c r="AQ102" s="1551"/>
      <c r="AR102" s="1551"/>
      <c r="AS102" s="1562">
        <v>0</v>
      </c>
    </row>
    <row r="103" spans="1:45" s="1775" customFormat="1" ht="96.75" customHeight="1">
      <c r="A103" s="1290"/>
      <c r="B103" s="1290"/>
      <c r="C103" s="1290"/>
      <c r="D103" s="1290"/>
      <c r="E103" s="2897" t="s">
        <v>96</v>
      </c>
      <c r="F103" s="2897"/>
      <c r="G103" s="2897"/>
      <c r="H103" s="2897"/>
      <c r="I103" s="2898" t="str">
        <f>S102&amp;".1"</f>
        <v>5.1.1.1.1</v>
      </c>
      <c r="J103" s="1290"/>
      <c r="K103" s="1290"/>
      <c r="L103" s="1296" t="s">
        <v>448</v>
      </c>
      <c r="M103" s="1293"/>
      <c r="N103" s="1702"/>
      <c r="O103" s="1702"/>
      <c r="P103" s="2900">
        <v>1</v>
      </c>
      <c r="Q103" s="2006"/>
      <c r="R103" s="293"/>
      <c r="S103" s="2003" t="str">
        <f>$I103</f>
        <v>5.1.1.1.1</v>
      </c>
      <c r="T103" s="223" t="s">
        <v>449</v>
      </c>
      <c r="U103" s="238"/>
      <c r="V103" s="2884"/>
      <c r="W103" s="2885"/>
      <c r="X103" s="2885"/>
      <c r="Y103" s="2885"/>
      <c r="Z103" s="2885"/>
      <c r="AA103" s="2885"/>
      <c r="AB103" s="2885"/>
      <c r="AC103" s="2886"/>
      <c r="AD103" s="2884" t="s">
        <v>491</v>
      </c>
      <c r="AE103" s="2885"/>
      <c r="AF103" s="2885"/>
      <c r="AG103" s="2885"/>
      <c r="AH103" s="2885"/>
      <c r="AI103" s="2885"/>
      <c r="AJ103" s="2885"/>
      <c r="AK103" s="2885"/>
      <c r="AL103" s="2886"/>
      <c r="AM103" s="1185" t="s">
        <v>450</v>
      </c>
      <c r="AN103" s="1569"/>
      <c r="AO103" s="1551"/>
      <c r="AP103" s="1551" t="str">
        <f t="shared" si="2"/>
        <v>Схема подключения теплопотребляющей установки к коллектору источника тепловой энергии</v>
      </c>
      <c r="AQ103" s="1551"/>
      <c r="AR103" s="1551"/>
      <c r="AS103" s="1562">
        <v>0</v>
      </c>
    </row>
    <row r="104" spans="1:45" s="1775" customFormat="1" ht="88.5" customHeight="1">
      <c r="A104" s="1290"/>
      <c r="B104" s="1290"/>
      <c r="C104" s="1290"/>
      <c r="D104" s="1290"/>
      <c r="E104" s="2897" t="s">
        <v>96</v>
      </c>
      <c r="F104" s="2897"/>
      <c r="G104" s="2897"/>
      <c r="H104" s="2897"/>
      <c r="I104" s="2899"/>
      <c r="J104" s="2898" t="str">
        <f>I103&amp;".1"</f>
        <v>5.1.1.1.1.1</v>
      </c>
      <c r="K104" s="1290"/>
      <c r="L104" s="1296" t="s">
        <v>451</v>
      </c>
      <c r="M104" s="1293"/>
      <c r="N104" s="1293"/>
      <c r="O104" s="1702"/>
      <c r="P104" s="2900"/>
      <c r="Q104" s="2900">
        <v>1</v>
      </c>
      <c r="R104" s="294"/>
      <c r="S104" s="2003" t="str">
        <f>$J104</f>
        <v>5.1.1.1.1.1</v>
      </c>
      <c r="T104" s="224" t="s">
        <v>452</v>
      </c>
      <c r="U104" s="238"/>
      <c r="V104" s="2884"/>
      <c r="W104" s="2885"/>
      <c r="X104" s="2885"/>
      <c r="Y104" s="2885"/>
      <c r="Z104" s="2885"/>
      <c r="AA104" s="2885"/>
      <c r="AB104" s="2885"/>
      <c r="AC104" s="2886"/>
      <c r="AD104" s="2884" t="s">
        <v>494</v>
      </c>
      <c r="AE104" s="2885"/>
      <c r="AF104" s="2885"/>
      <c r="AG104" s="2885"/>
      <c r="AH104" s="2885"/>
      <c r="AI104" s="2885"/>
      <c r="AJ104" s="2885"/>
      <c r="AK104" s="2885"/>
      <c r="AL104" s="2886"/>
      <c r="AM104" s="1185" t="s">
        <v>453</v>
      </c>
      <c r="AN104" s="1569"/>
      <c r="AO104" s="1551"/>
      <c r="AP104" s="1551" t="str">
        <f t="shared" si="2"/>
        <v>Группа потребителей</v>
      </c>
      <c r="AQ104" s="1551"/>
      <c r="AR104" s="1551"/>
      <c r="AS104" s="1562">
        <v>0</v>
      </c>
    </row>
    <row r="105" spans="1:45" s="1775" customFormat="1" ht="21" customHeight="1">
      <c r="A105" s="1290"/>
      <c r="B105" s="1290"/>
      <c r="C105" s="1290"/>
      <c r="D105" s="1290"/>
      <c r="E105" s="2897" t="s">
        <v>96</v>
      </c>
      <c r="F105" s="2897"/>
      <c r="G105" s="2897"/>
      <c r="H105" s="2897"/>
      <c r="I105" s="2899"/>
      <c r="J105" s="2899"/>
      <c r="K105" s="2898" t="str">
        <f>J104&amp;".1"</f>
        <v>5.1.1.1.1.1.1</v>
      </c>
      <c r="L105" s="1296" t="s">
        <v>454</v>
      </c>
      <c r="M105" s="1293"/>
      <c r="N105" s="1293"/>
      <c r="O105" s="1293"/>
      <c r="P105" s="2900"/>
      <c r="Q105" s="2900"/>
      <c r="R105" s="294">
        <v>1</v>
      </c>
      <c r="S105" s="2003" t="str">
        <f>$K105</f>
        <v>5.1.1.1.1.1.1</v>
      </c>
      <c r="T105" s="1274" t="s">
        <v>493</v>
      </c>
      <c r="U105" s="238"/>
      <c r="V105" s="688"/>
      <c r="W105" s="263"/>
      <c r="X105" s="688"/>
      <c r="Y105" s="1184"/>
      <c r="Z105" s="2901"/>
      <c r="AA105" s="2768" t="s">
        <v>71</v>
      </c>
      <c r="AB105" s="2901"/>
      <c r="AC105" s="2768" t="s">
        <v>71</v>
      </c>
      <c r="AD105" s="688">
        <v>2598.7600000000002</v>
      </c>
      <c r="AE105" s="263"/>
      <c r="AF105" s="688"/>
      <c r="AG105" s="1184"/>
      <c r="AH105" s="2901" t="s">
        <v>22</v>
      </c>
      <c r="AI105" s="2768" t="s">
        <v>71</v>
      </c>
      <c r="AJ105" s="2901" t="s">
        <v>26</v>
      </c>
      <c r="AK105" s="2768" t="s">
        <v>71</v>
      </c>
      <c r="AL105" s="263"/>
      <c r="AM105" s="2919" t="s">
        <v>455</v>
      </c>
      <c r="AN105" s="1569" t="e">
        <f ca="1">STRCHECKDATE(V106:AL106)</f>
        <v>#NAME?</v>
      </c>
      <c r="AO105" s="1551"/>
      <c r="AP105" s="1551" t="str">
        <f t="shared" si="2"/>
        <v>вода</v>
      </c>
      <c r="AQ105" s="1551"/>
      <c r="AR105" s="1551"/>
      <c r="AS105" s="1562">
        <v>0</v>
      </c>
    </row>
    <row r="106" spans="1:45" s="1775" customFormat="1" ht="0.75" customHeight="1">
      <c r="A106" s="1290"/>
      <c r="B106" s="1290"/>
      <c r="C106" s="1290"/>
      <c r="D106" s="1290"/>
      <c r="E106" s="2897" t="s">
        <v>96</v>
      </c>
      <c r="F106" s="2897"/>
      <c r="G106" s="2897"/>
      <c r="H106" s="2897"/>
      <c r="I106" s="2899"/>
      <c r="J106" s="2899"/>
      <c r="K106" s="2898"/>
      <c r="L106" s="1296"/>
      <c r="M106" s="1293"/>
      <c r="N106" s="1293"/>
      <c r="O106" s="1293"/>
      <c r="P106" s="2900"/>
      <c r="Q106" s="2900"/>
      <c r="R106" s="294"/>
      <c r="S106" s="2010"/>
      <c r="T106" s="238"/>
      <c r="U106" s="238"/>
      <c r="V106" s="263"/>
      <c r="W106" s="263"/>
      <c r="X106" s="263"/>
      <c r="Y106" s="266" t="str">
        <f>Z105&amp;"-"&amp;AB105</f>
        <v>-</v>
      </c>
      <c r="Z106" s="2902"/>
      <c r="AA106" s="2768"/>
      <c r="AB106" s="2902"/>
      <c r="AC106" s="2768"/>
      <c r="AD106" s="263"/>
      <c r="AE106" s="263"/>
      <c r="AF106" s="263"/>
      <c r="AG106" s="266" t="str">
        <f>AH105&amp;"-"&amp;AJ105</f>
        <v>01.01.2025-31.12.2025</v>
      </c>
      <c r="AH106" s="2902"/>
      <c r="AI106" s="2768"/>
      <c r="AJ106" s="2902"/>
      <c r="AK106" s="2768"/>
      <c r="AL106" s="263"/>
      <c r="AM106" s="2920"/>
      <c r="AN106" s="1569"/>
      <c r="AO106" s="1551"/>
      <c r="AP106" s="1551" t="str">
        <f t="shared" si="2"/>
        <v/>
      </c>
      <c r="AQ106" s="1551"/>
      <c r="AR106" s="1551"/>
      <c r="AS106" s="1562">
        <v>0</v>
      </c>
    </row>
    <row r="107" spans="1:45" s="1775" customFormat="1" ht="185.25" customHeight="1">
      <c r="A107" s="1290"/>
      <c r="B107" s="1290"/>
      <c r="C107" s="1290"/>
      <c r="D107" s="1290"/>
      <c r="E107" s="2897" t="s">
        <v>96</v>
      </c>
      <c r="F107" s="2897"/>
      <c r="G107" s="2897"/>
      <c r="H107" s="2897"/>
      <c r="I107" s="2899"/>
      <c r="J107" s="2898"/>
      <c r="K107" s="1290"/>
      <c r="L107" s="1296"/>
      <c r="M107" s="1293"/>
      <c r="N107" s="1293"/>
      <c r="O107" s="1702"/>
      <c r="P107" s="2900"/>
      <c r="Q107" s="2900"/>
      <c r="R107" s="293"/>
      <c r="S107" s="2258"/>
      <c r="T107" s="2259" t="s">
        <v>456</v>
      </c>
      <c r="U107" s="2260"/>
      <c r="V107" s="2261"/>
      <c r="W107" s="2262"/>
      <c r="X107" s="2263"/>
      <c r="Y107" s="2264"/>
      <c r="Z107" s="2265"/>
      <c r="AA107" s="2266"/>
      <c r="AB107" s="2267"/>
      <c r="AC107" s="2268"/>
      <c r="AD107" s="2269"/>
      <c r="AE107" s="2270"/>
      <c r="AF107" s="2271"/>
      <c r="AG107" s="2272"/>
      <c r="AH107" s="2273"/>
      <c r="AI107" s="2274"/>
      <c r="AJ107" s="2275"/>
      <c r="AK107" s="2276"/>
      <c r="AL107" s="2277"/>
      <c r="AM107" s="2921"/>
      <c r="AN107" s="1569"/>
      <c r="AO107" s="1551"/>
      <c r="AP107" s="1551" t="str">
        <f t="shared" ref="AP107:AP138" si="3">IF(T107="","",T107)</f>
        <v>Добавить вид теплоносителя (параметры теплоносителя)</v>
      </c>
      <c r="AQ107" s="1551"/>
      <c r="AR107" s="1551"/>
      <c r="AS107" s="1562">
        <v>0</v>
      </c>
    </row>
    <row r="108" spans="1:45" s="1775" customFormat="1" ht="15" customHeight="1">
      <c r="A108" s="1290"/>
      <c r="B108" s="1290"/>
      <c r="C108" s="1290"/>
      <c r="D108" s="1290"/>
      <c r="E108" s="2897" t="s">
        <v>96</v>
      </c>
      <c r="F108" s="2897"/>
      <c r="G108" s="2897"/>
      <c r="H108" s="2897"/>
      <c r="I108" s="2898"/>
      <c r="J108" s="1290"/>
      <c r="K108" s="1290"/>
      <c r="L108" s="1296"/>
      <c r="M108" s="1293"/>
      <c r="N108" s="1702"/>
      <c r="O108" s="1702"/>
      <c r="P108" s="2900"/>
      <c r="Q108" s="2006"/>
      <c r="R108" s="293"/>
      <c r="S108" s="2278"/>
      <c r="T108" s="2279" t="s">
        <v>457</v>
      </c>
      <c r="U108" s="2280"/>
      <c r="V108" s="2281"/>
      <c r="W108" s="2282"/>
      <c r="X108" s="2283"/>
      <c r="Y108" s="2284"/>
      <c r="Z108" s="2285"/>
      <c r="AA108" s="2286"/>
      <c r="AB108" s="2287"/>
      <c r="AC108" s="2288"/>
      <c r="AD108" s="2289"/>
      <c r="AE108" s="2290"/>
      <c r="AF108" s="2291"/>
      <c r="AG108" s="2292"/>
      <c r="AH108" s="2293"/>
      <c r="AI108" s="2294"/>
      <c r="AJ108" s="2295"/>
      <c r="AK108" s="2296"/>
      <c r="AL108" s="2297"/>
      <c r="AM108" s="2298"/>
      <c r="AN108" s="1569"/>
      <c r="AO108" s="1551"/>
      <c r="AP108" s="1551" t="str">
        <f t="shared" si="3"/>
        <v>Добавить группу потребителей</v>
      </c>
      <c r="AQ108" s="1551"/>
      <c r="AR108" s="1551"/>
      <c r="AS108" s="1562">
        <v>0</v>
      </c>
    </row>
    <row r="109" spans="1:45" s="1775" customFormat="1" ht="14.25" customHeight="1">
      <c r="A109" s="1290"/>
      <c r="B109" s="1290"/>
      <c r="C109" s="1290"/>
      <c r="D109" s="1290"/>
      <c r="E109" s="2897" t="s">
        <v>96</v>
      </c>
      <c r="F109" s="2897"/>
      <c r="G109" s="2897"/>
      <c r="H109" s="2896"/>
      <c r="I109" s="1290"/>
      <c r="J109" s="1290"/>
      <c r="K109" s="1290"/>
      <c r="L109" s="1296"/>
      <c r="M109" s="1292"/>
      <c r="N109" s="1292"/>
      <c r="O109" s="1293"/>
      <c r="P109" s="1748"/>
      <c r="Q109" s="312"/>
      <c r="R109" s="292"/>
      <c r="S109" s="2299"/>
      <c r="T109" s="2300" t="s">
        <v>458</v>
      </c>
      <c r="U109" s="2301"/>
      <c r="V109" s="2302"/>
      <c r="W109" s="2303"/>
      <c r="X109" s="2304"/>
      <c r="Y109" s="2305"/>
      <c r="Z109" s="2306"/>
      <c r="AA109" s="2307"/>
      <c r="AB109" s="2308"/>
      <c r="AC109" s="2309"/>
      <c r="AD109" s="2310"/>
      <c r="AE109" s="2311"/>
      <c r="AF109" s="2312"/>
      <c r="AG109" s="2313"/>
      <c r="AH109" s="2314"/>
      <c r="AI109" s="2315"/>
      <c r="AJ109" s="2316"/>
      <c r="AK109" s="2317"/>
      <c r="AL109" s="2318"/>
      <c r="AM109" s="2319"/>
      <c r="AN109" s="1569"/>
      <c r="AO109" s="1551"/>
      <c r="AP109" s="1551" t="str">
        <f t="shared" si="3"/>
        <v>Добавить схему подключения</v>
      </c>
      <c r="AQ109" s="1551"/>
      <c r="AR109" s="1551"/>
      <c r="AS109" s="1562">
        <v>0</v>
      </c>
    </row>
    <row r="110" spans="1:45" s="559" customFormat="1" ht="0.75" customHeight="1">
      <c r="A110" s="1270"/>
      <c r="B110" s="1270"/>
      <c r="C110" s="1270"/>
      <c r="D110" s="1270"/>
      <c r="E110" s="2897" t="s">
        <v>96</v>
      </c>
      <c r="F110" s="2897"/>
      <c r="G110" s="2896"/>
      <c r="H110" s="1270"/>
      <c r="I110" s="1270"/>
      <c r="J110" s="1270"/>
      <c r="K110" s="1270"/>
      <c r="L110" s="1472"/>
      <c r="M110" s="1242"/>
      <c r="N110" s="1242"/>
      <c r="O110" s="1569"/>
      <c r="P110" s="1243"/>
      <c r="Q110" s="1271"/>
      <c r="R110" s="1243"/>
      <c r="S110" s="1245"/>
      <c r="T110" s="1246" t="s">
        <v>174</v>
      </c>
      <c r="U110" s="1247"/>
      <c r="V110" s="1247"/>
      <c r="W110" s="1247"/>
      <c r="X110" s="1247"/>
      <c r="Y110" s="1247"/>
      <c r="Z110" s="1247"/>
      <c r="AA110" s="1247"/>
      <c r="AB110" s="1247"/>
      <c r="AC110" s="1247"/>
      <c r="AD110" s="1247"/>
      <c r="AE110" s="1247"/>
      <c r="AF110" s="1247"/>
      <c r="AG110" s="1247"/>
      <c r="AH110" s="1247"/>
      <c r="AI110" s="1247"/>
      <c r="AJ110" s="1247"/>
      <c r="AK110" s="1247"/>
      <c r="AL110" s="1247"/>
      <c r="AM110" s="1247"/>
      <c r="AN110" s="1569"/>
      <c r="AO110" s="1551"/>
      <c r="AP110" s="1551" t="str">
        <f t="shared" si="3"/>
        <v>Добавить источник для дифференциации</v>
      </c>
      <c r="AQ110" s="1551"/>
      <c r="AR110" s="1551"/>
      <c r="AS110" s="1569">
        <v>0</v>
      </c>
    </row>
    <row r="111" spans="1:45" s="559" customFormat="1" ht="0.75" customHeight="1">
      <c r="A111" s="1270"/>
      <c r="B111" s="1270"/>
      <c r="C111" s="1270"/>
      <c r="D111" s="1270"/>
      <c r="E111" s="2897" t="s">
        <v>96</v>
      </c>
      <c r="F111" s="2896"/>
      <c r="G111" s="1270"/>
      <c r="H111" s="1270"/>
      <c r="I111" s="1270"/>
      <c r="J111" s="1270"/>
      <c r="K111" s="1270"/>
      <c r="L111" s="1472"/>
      <c r="M111" s="1248"/>
      <c r="N111" s="1248"/>
      <c r="O111" s="1569"/>
      <c r="P111" s="1243"/>
      <c r="Q111" s="1271"/>
      <c r="R111" s="1243"/>
      <c r="S111" s="1249"/>
      <c r="T111" s="1250" t="s">
        <v>176</v>
      </c>
      <c r="U111" s="1251"/>
      <c r="V111" s="1251"/>
      <c r="W111" s="1251"/>
      <c r="X111" s="1251"/>
      <c r="Y111" s="1251"/>
      <c r="Z111" s="1251"/>
      <c r="AA111" s="1251"/>
      <c r="AB111" s="1251"/>
      <c r="AC111" s="1251"/>
      <c r="AD111" s="1251"/>
      <c r="AE111" s="1251"/>
      <c r="AF111" s="1251"/>
      <c r="AG111" s="1251"/>
      <c r="AH111" s="1251"/>
      <c r="AI111" s="1251"/>
      <c r="AJ111" s="1251"/>
      <c r="AK111" s="1251"/>
      <c r="AL111" s="1251"/>
      <c r="AM111" s="1251"/>
      <c r="AN111" s="1569"/>
      <c r="AO111" s="1551"/>
      <c r="AP111" s="1551" t="str">
        <f t="shared" si="3"/>
        <v>Добавить централизованную систему для дифференциации</v>
      </c>
      <c r="AQ111" s="1551"/>
      <c r="AR111" s="1551"/>
      <c r="AS111" s="1569">
        <v>0</v>
      </c>
    </row>
    <row r="112" spans="1:45" s="559" customFormat="1" ht="0.75" customHeight="1">
      <c r="A112" s="1270"/>
      <c r="B112" s="1270"/>
      <c r="C112" s="1270"/>
      <c r="D112" s="1270"/>
      <c r="E112" s="2896" t="s">
        <v>96</v>
      </c>
      <c r="F112" s="1270"/>
      <c r="G112" s="1270"/>
      <c r="H112" s="1270"/>
      <c r="I112" s="1270"/>
      <c r="J112" s="1270"/>
      <c r="K112" s="1270"/>
      <c r="L112" s="1472"/>
      <c r="M112" s="1248"/>
      <c r="N112" s="1248"/>
      <c r="O112" s="1569"/>
      <c r="P112" s="1243"/>
      <c r="Q112" s="1271"/>
      <c r="R112" s="1243"/>
      <c r="S112" s="1249"/>
      <c r="T112" s="1252" t="s">
        <v>178</v>
      </c>
      <c r="U112" s="1251"/>
      <c r="V112" s="1251"/>
      <c r="W112" s="1251"/>
      <c r="X112" s="1251"/>
      <c r="Y112" s="1251"/>
      <c r="Z112" s="1251"/>
      <c r="AA112" s="1251"/>
      <c r="AB112" s="1251"/>
      <c r="AC112" s="1251"/>
      <c r="AD112" s="1251"/>
      <c r="AE112" s="1251"/>
      <c r="AF112" s="1251"/>
      <c r="AG112" s="1251"/>
      <c r="AH112" s="1251"/>
      <c r="AI112" s="1251"/>
      <c r="AJ112" s="1251"/>
      <c r="AK112" s="1251"/>
      <c r="AL112" s="1251"/>
      <c r="AM112" s="1251"/>
      <c r="AN112" s="1569"/>
      <c r="AO112" s="1551"/>
      <c r="AP112" s="1551" t="str">
        <f t="shared" si="3"/>
        <v>Добавить территорию для дифференциации</v>
      </c>
      <c r="AQ112" s="1551"/>
      <c r="AR112" s="1551"/>
      <c r="AS112" s="1569">
        <v>0</v>
      </c>
    </row>
    <row r="113" spans="1:45" s="1775" customFormat="1" ht="21" customHeight="1">
      <c r="A113" s="1290" t="s">
        <v>198</v>
      </c>
      <c r="B113" s="1290"/>
      <c r="C113" s="1290"/>
      <c r="D113" s="1290"/>
      <c r="E113" s="2896" t="s">
        <v>97</v>
      </c>
      <c r="F113" s="1290"/>
      <c r="G113" s="1290"/>
      <c r="H113" s="1290"/>
      <c r="I113" s="1290"/>
      <c r="J113" s="1290"/>
      <c r="K113" s="1290"/>
      <c r="L113" s="1296"/>
      <c r="M113" s="1292"/>
      <c r="N113" s="1292"/>
      <c r="O113" s="1292"/>
      <c r="P113" s="2007"/>
      <c r="Q113" s="1748"/>
      <c r="R113" s="292"/>
      <c r="S113" s="2003" t="str">
        <f>INDEX(PT_DIFFERENTIATION_NUM_NTAR,MATCH(A113,PT_DIFFERENTIATION_NTAR_ID,0))</f>
        <v>6</v>
      </c>
      <c r="T113" s="1452" t="s">
        <v>128</v>
      </c>
      <c r="U113" s="238"/>
      <c r="V113" s="2890"/>
      <c r="W113" s="2891"/>
      <c r="X113" s="2891"/>
      <c r="Y113" s="2891"/>
      <c r="Z113" s="2891"/>
      <c r="AA113" s="2891"/>
      <c r="AB113" s="2891"/>
      <c r="AC113" s="2892"/>
      <c r="AD113" s="2890" t="str">
        <f>INDEX(PT_DIFFERENTIATION_NTAR,MATCH(A113,PT_DIFFERENTIATION_NTAR_ID,0))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AE113" s="2891"/>
      <c r="AF113" s="2891"/>
      <c r="AG113" s="2891"/>
      <c r="AH113" s="2891"/>
      <c r="AI113" s="2891"/>
      <c r="AJ113" s="2891"/>
      <c r="AK113" s="2891"/>
      <c r="AL113" s="2892"/>
      <c r="AM113" s="1185" t="s">
        <v>441</v>
      </c>
      <c r="AN113" s="1569"/>
      <c r="AO113" s="1551"/>
      <c r="AP113" s="1551" t="str">
        <f t="shared" si="3"/>
        <v>Наименование тарифа</v>
      </c>
      <c r="AQ113" s="1551"/>
      <c r="AR113" s="1551"/>
      <c r="AS113" s="1562">
        <v>0</v>
      </c>
    </row>
    <row r="114" spans="1:45" s="1775" customFormat="1" ht="21" customHeight="1">
      <c r="A114" s="1290"/>
      <c r="B114" s="1290" t="s">
        <v>199</v>
      </c>
      <c r="C114" s="1290"/>
      <c r="D114" s="1290"/>
      <c r="E114" s="2897" t="s">
        <v>116</v>
      </c>
      <c r="F114" s="2896">
        <v>1</v>
      </c>
      <c r="G114" s="1290"/>
      <c r="H114" s="1290"/>
      <c r="I114" s="1290"/>
      <c r="J114" s="1290"/>
      <c r="K114" s="1290"/>
      <c r="L114" s="1296"/>
      <c r="M114" s="1292"/>
      <c r="N114" s="1292"/>
      <c r="O114" s="1292"/>
      <c r="P114" s="2000"/>
      <c r="Q114" s="289"/>
      <c r="R114" s="290"/>
      <c r="S114" s="2003" t="str">
        <f>INDEX(PT_DIFFERENTIATION_NUM_TER,MATCH(B114,PT_DIFFERENTIATION_TER_ID,0))</f>
        <v>6.1</v>
      </c>
      <c r="T114" s="1449" t="s">
        <v>442</v>
      </c>
      <c r="U114" s="238"/>
      <c r="V114" s="2890"/>
      <c r="W114" s="2891"/>
      <c r="X114" s="2891"/>
      <c r="Y114" s="2891"/>
      <c r="Z114" s="2891"/>
      <c r="AA114" s="2891"/>
      <c r="AB114" s="2891"/>
      <c r="AC114" s="2892"/>
      <c r="AD114" s="2890" t="str">
        <f>INDEX(PT_DIFFERENTIATION_TER,MATCH(B114,PT_DIFFERENTIATION_TER_ID,0))</f>
        <v>без дифференциации</v>
      </c>
      <c r="AE114" s="2891"/>
      <c r="AF114" s="2891"/>
      <c r="AG114" s="2891"/>
      <c r="AH114" s="2891"/>
      <c r="AI114" s="2891"/>
      <c r="AJ114" s="2891"/>
      <c r="AK114" s="2891"/>
      <c r="AL114" s="2892"/>
      <c r="AM114" s="1185" t="s">
        <v>443</v>
      </c>
      <c r="AN114" s="1569"/>
      <c r="AO114" s="1551"/>
      <c r="AP114" s="1551" t="str">
        <f t="shared" si="3"/>
        <v>Территория действия тарифа</v>
      </c>
      <c r="AQ114" s="1551"/>
      <c r="AR114" s="1551"/>
      <c r="AS114" s="1562">
        <v>0</v>
      </c>
    </row>
    <row r="115" spans="1:45" s="1775" customFormat="1" ht="23.25" customHeight="1">
      <c r="A115" s="1290"/>
      <c r="B115" s="1290"/>
      <c r="C115" s="1290" t="s">
        <v>200</v>
      </c>
      <c r="D115" s="1290"/>
      <c r="E115" s="2897" t="s">
        <v>116</v>
      </c>
      <c r="F115" s="2897"/>
      <c r="G115" s="2896">
        <v>1</v>
      </c>
      <c r="H115" s="1290"/>
      <c r="I115" s="1290"/>
      <c r="J115" s="1290"/>
      <c r="K115" s="1290"/>
      <c r="L115" s="1296"/>
      <c r="M115" s="1292"/>
      <c r="N115" s="1292"/>
      <c r="O115" s="1292"/>
      <c r="P115" s="291"/>
      <c r="Q115" s="289"/>
      <c r="R115" s="290"/>
      <c r="S115" s="2003" t="str">
        <f>INDEX(PT_DIFFERENTIATION_NUM_CS,MATCH(C115,PT_DIFFERENTIATION_CS_ID,0))</f>
        <v>6.1.1</v>
      </c>
      <c r="T115" s="247" t="s">
        <v>444</v>
      </c>
      <c r="U115" s="238"/>
      <c r="V115" s="2890"/>
      <c r="W115" s="2891"/>
      <c r="X115" s="2891"/>
      <c r="Y115" s="2891"/>
      <c r="Z115" s="2891"/>
      <c r="AA115" s="2891"/>
      <c r="AB115" s="2891"/>
      <c r="AC115" s="2892"/>
      <c r="AD115" s="2890" t="str">
        <f>INDEX(PT_DIFFERENTIATION_CS,MATCH(C115,PT_DIFFERENTIATION_CS_ID,0))</f>
        <v>без дифференциации</v>
      </c>
      <c r="AE115" s="2891"/>
      <c r="AF115" s="2891"/>
      <c r="AG115" s="2891"/>
      <c r="AH115" s="2891"/>
      <c r="AI115" s="2891"/>
      <c r="AJ115" s="2891"/>
      <c r="AK115" s="2891"/>
      <c r="AL115" s="2892"/>
      <c r="AM115" s="1185" t="s">
        <v>445</v>
      </c>
      <c r="AN115" s="1569"/>
      <c r="AO115" s="1551"/>
      <c r="AP115" s="1551" t="str">
        <f t="shared" si="3"/>
        <v xml:space="preserve">Наименование системы теплоснабжения </v>
      </c>
      <c r="AQ115" s="1551"/>
      <c r="AR115" s="1551"/>
      <c r="AS115" s="1562">
        <v>0</v>
      </c>
    </row>
    <row r="116" spans="1:45" s="1775" customFormat="1" ht="21" customHeight="1">
      <c r="A116" s="1290"/>
      <c r="B116" s="1290"/>
      <c r="C116" s="1290"/>
      <c r="D116" s="1290" t="s">
        <v>201</v>
      </c>
      <c r="E116" s="2897" t="s">
        <v>116</v>
      </c>
      <c r="F116" s="2897"/>
      <c r="G116" s="2897"/>
      <c r="H116" s="2896">
        <v>1</v>
      </c>
      <c r="I116" s="1290"/>
      <c r="J116" s="1290"/>
      <c r="K116" s="1290"/>
      <c r="L116" s="1296"/>
      <c r="M116" s="1292"/>
      <c r="N116" s="1292"/>
      <c r="O116" s="1292"/>
      <c r="P116" s="291"/>
      <c r="Q116" s="289"/>
      <c r="R116" s="290"/>
      <c r="S116" s="2003" t="str">
        <f>INDEX(PT_DIFFERENTIATION_NUM_IST_TE,MATCH(D116,PT_DIFFERENTIATION_IST_TE_ID,0))</f>
        <v>6.1.1.1</v>
      </c>
      <c r="T116" s="248" t="s">
        <v>446</v>
      </c>
      <c r="U116" s="238"/>
      <c r="V116" s="2890"/>
      <c r="W116" s="2891"/>
      <c r="X116" s="2891"/>
      <c r="Y116" s="2891"/>
      <c r="Z116" s="2891"/>
      <c r="AA116" s="2891"/>
      <c r="AB116" s="2891"/>
      <c r="AC116" s="2892"/>
      <c r="AD116" s="2890" t="str">
        <f>INDEX(PT_DIFFERENTIATION_IST_TE,MATCH(D116,PT_DIFFERENTIATION_IST_TE_ID,0))</f>
        <v>без дифференциации</v>
      </c>
      <c r="AE116" s="2891"/>
      <c r="AF116" s="2891"/>
      <c r="AG116" s="2891"/>
      <c r="AH116" s="2891"/>
      <c r="AI116" s="2891"/>
      <c r="AJ116" s="2891"/>
      <c r="AK116" s="2891"/>
      <c r="AL116" s="2892"/>
      <c r="AM116" s="1185" t="s">
        <v>447</v>
      </c>
      <c r="AN116" s="1569"/>
      <c r="AO116" s="1551"/>
      <c r="AP116" s="1551" t="str">
        <f t="shared" si="3"/>
        <v xml:space="preserve">Источник тепловой энергии  </v>
      </c>
      <c r="AQ116" s="1551"/>
      <c r="AR116" s="1551"/>
      <c r="AS116" s="1562">
        <v>0</v>
      </c>
    </row>
    <row r="117" spans="1:45" s="1775" customFormat="1" ht="97.5" customHeight="1">
      <c r="A117" s="1290"/>
      <c r="B117" s="1290"/>
      <c r="C117" s="1290"/>
      <c r="D117" s="1290"/>
      <c r="E117" s="2897" t="s">
        <v>116</v>
      </c>
      <c r="F117" s="2897"/>
      <c r="G117" s="2897"/>
      <c r="H117" s="2897"/>
      <c r="I117" s="2898" t="str">
        <f>S116&amp;".1"</f>
        <v>6.1.1.1.1</v>
      </c>
      <c r="J117" s="1290"/>
      <c r="K117" s="1290"/>
      <c r="L117" s="1296" t="s">
        <v>448</v>
      </c>
      <c r="M117" s="1293"/>
      <c r="N117" s="1702"/>
      <c r="O117" s="1702"/>
      <c r="P117" s="2900">
        <v>1</v>
      </c>
      <c r="Q117" s="2006"/>
      <c r="R117" s="293"/>
      <c r="S117" s="2003" t="str">
        <f>$I117</f>
        <v>6.1.1.1.1</v>
      </c>
      <c r="T117" s="223" t="s">
        <v>449</v>
      </c>
      <c r="U117" s="238"/>
      <c r="V117" s="2884"/>
      <c r="W117" s="2885"/>
      <c r="X117" s="2885"/>
      <c r="Y117" s="2885"/>
      <c r="Z117" s="2885"/>
      <c r="AA117" s="2885"/>
      <c r="AB117" s="2885"/>
      <c r="AC117" s="2886"/>
      <c r="AD117" s="2884" t="s">
        <v>491</v>
      </c>
      <c r="AE117" s="2885"/>
      <c r="AF117" s="2885"/>
      <c r="AG117" s="2885"/>
      <c r="AH117" s="2885"/>
      <c r="AI117" s="2885"/>
      <c r="AJ117" s="2885"/>
      <c r="AK117" s="2885"/>
      <c r="AL117" s="2886"/>
      <c r="AM117" s="1185" t="s">
        <v>450</v>
      </c>
      <c r="AN117" s="1569"/>
      <c r="AO117" s="1551"/>
      <c r="AP117" s="1551" t="str">
        <f t="shared" si="3"/>
        <v>Схема подключения теплопотребляющей установки к коллектору источника тепловой энергии</v>
      </c>
      <c r="AQ117" s="1551"/>
      <c r="AR117" s="1551"/>
      <c r="AS117" s="1562">
        <v>0</v>
      </c>
    </row>
    <row r="118" spans="1:45" s="1775" customFormat="1" ht="21" customHeight="1">
      <c r="A118" s="1290"/>
      <c r="B118" s="1290"/>
      <c r="C118" s="1290"/>
      <c r="D118" s="1290"/>
      <c r="E118" s="2897" t="s">
        <v>116</v>
      </c>
      <c r="F118" s="2897"/>
      <c r="G118" s="2897"/>
      <c r="H118" s="2897"/>
      <c r="I118" s="2899"/>
      <c r="J118" s="2898" t="str">
        <f>I117&amp;".1"</f>
        <v>6.1.1.1.1.1</v>
      </c>
      <c r="K118" s="1290"/>
      <c r="L118" s="1296" t="s">
        <v>451</v>
      </c>
      <c r="M118" s="1293"/>
      <c r="N118" s="1293"/>
      <c r="O118" s="1702"/>
      <c r="P118" s="2900"/>
      <c r="Q118" s="2900">
        <v>1</v>
      </c>
      <c r="R118" s="294"/>
      <c r="S118" s="2003" t="str">
        <f>$J118</f>
        <v>6.1.1.1.1.1</v>
      </c>
      <c r="T118" s="224" t="s">
        <v>452</v>
      </c>
      <c r="U118" s="238"/>
      <c r="V118" s="2884"/>
      <c r="W118" s="2885"/>
      <c r="X118" s="2885"/>
      <c r="Y118" s="2885"/>
      <c r="Z118" s="2885"/>
      <c r="AA118" s="2885"/>
      <c r="AB118" s="2885"/>
      <c r="AC118" s="2886"/>
      <c r="AD118" s="2884" t="s">
        <v>492</v>
      </c>
      <c r="AE118" s="2885"/>
      <c r="AF118" s="2885"/>
      <c r="AG118" s="2885"/>
      <c r="AH118" s="2885"/>
      <c r="AI118" s="2885"/>
      <c r="AJ118" s="2885"/>
      <c r="AK118" s="2885"/>
      <c r="AL118" s="2886"/>
      <c r="AM118" s="1185" t="s">
        <v>453</v>
      </c>
      <c r="AN118" s="1569"/>
      <c r="AO118" s="1551"/>
      <c r="AP118" s="1551" t="str">
        <f t="shared" si="3"/>
        <v>Группа потребителей</v>
      </c>
      <c r="AQ118" s="1551"/>
      <c r="AR118" s="1551"/>
      <c r="AS118" s="1562">
        <v>0</v>
      </c>
    </row>
    <row r="119" spans="1:45" s="1775" customFormat="1" ht="145.5" customHeight="1">
      <c r="A119" s="1290"/>
      <c r="B119" s="1290"/>
      <c r="C119" s="1290"/>
      <c r="D119" s="1290"/>
      <c r="E119" s="2897" t="s">
        <v>116</v>
      </c>
      <c r="F119" s="2897"/>
      <c r="G119" s="2897"/>
      <c r="H119" s="2897"/>
      <c r="I119" s="2899"/>
      <c r="J119" s="2899"/>
      <c r="K119" s="2898" t="str">
        <f>J118&amp;".1"</f>
        <v>6.1.1.1.1.1.1</v>
      </c>
      <c r="L119" s="1296" t="s">
        <v>454</v>
      </c>
      <c r="M119" s="1293"/>
      <c r="N119" s="1293"/>
      <c r="O119" s="1293"/>
      <c r="P119" s="2900"/>
      <c r="Q119" s="2900"/>
      <c r="R119" s="294">
        <v>1</v>
      </c>
      <c r="S119" s="2003" t="str">
        <f>$K119</f>
        <v>6.1.1.1.1.1.1</v>
      </c>
      <c r="T119" s="1274" t="s">
        <v>493</v>
      </c>
      <c r="U119" s="238"/>
      <c r="V119" s="688"/>
      <c r="W119" s="263"/>
      <c r="X119" s="688"/>
      <c r="Y119" s="1184"/>
      <c r="Z119" s="2901"/>
      <c r="AA119" s="2768" t="s">
        <v>71</v>
      </c>
      <c r="AB119" s="2901"/>
      <c r="AC119" s="2768" t="s">
        <v>71</v>
      </c>
      <c r="AD119" s="688">
        <v>5455.09</v>
      </c>
      <c r="AE119" s="263"/>
      <c r="AF119" s="688"/>
      <c r="AG119" s="1184"/>
      <c r="AH119" s="2901" t="s">
        <v>22</v>
      </c>
      <c r="AI119" s="2768" t="s">
        <v>71</v>
      </c>
      <c r="AJ119" s="2901" t="s">
        <v>26</v>
      </c>
      <c r="AK119" s="2768" t="s">
        <v>71</v>
      </c>
      <c r="AL119" s="263"/>
      <c r="AM119" s="2919" t="s">
        <v>455</v>
      </c>
      <c r="AN119" s="1569" t="e">
        <f ca="1">STRCHECKDATE(V120:AL120)</f>
        <v>#NAME?</v>
      </c>
      <c r="AO119" s="1551"/>
      <c r="AP119" s="1551" t="str">
        <f t="shared" si="3"/>
        <v>вода</v>
      </c>
      <c r="AQ119" s="1551"/>
      <c r="AR119" s="1551"/>
      <c r="AS119" s="1562">
        <v>0</v>
      </c>
    </row>
    <row r="120" spans="1:45" s="1775" customFormat="1" ht="45.75" customHeight="1">
      <c r="A120" s="1290"/>
      <c r="B120" s="1290"/>
      <c r="C120" s="1290"/>
      <c r="D120" s="1290"/>
      <c r="E120" s="2897" t="s">
        <v>116</v>
      </c>
      <c r="F120" s="2897"/>
      <c r="G120" s="2897"/>
      <c r="H120" s="2897"/>
      <c r="I120" s="2899"/>
      <c r="J120" s="2899"/>
      <c r="K120" s="2898"/>
      <c r="L120" s="1296"/>
      <c r="M120" s="1293"/>
      <c r="N120" s="1293"/>
      <c r="O120" s="1293"/>
      <c r="P120" s="2900"/>
      <c r="Q120" s="2900"/>
      <c r="R120" s="294"/>
      <c r="S120" s="2010"/>
      <c r="T120" s="238"/>
      <c r="U120" s="238"/>
      <c r="V120" s="263"/>
      <c r="W120" s="263"/>
      <c r="X120" s="263"/>
      <c r="Y120" s="266" t="str">
        <f>Z119&amp;"-"&amp;AB119</f>
        <v>-</v>
      </c>
      <c r="Z120" s="2902"/>
      <c r="AA120" s="2768"/>
      <c r="AB120" s="2902"/>
      <c r="AC120" s="2768"/>
      <c r="AD120" s="263"/>
      <c r="AE120" s="263"/>
      <c r="AF120" s="263"/>
      <c r="AG120" s="266" t="str">
        <f>AH119&amp;"-"&amp;AJ119</f>
        <v>01.01.2025-31.12.2025</v>
      </c>
      <c r="AH120" s="2902"/>
      <c r="AI120" s="2768"/>
      <c r="AJ120" s="2902"/>
      <c r="AK120" s="2768"/>
      <c r="AL120" s="263"/>
      <c r="AM120" s="2920"/>
      <c r="AN120" s="1569"/>
      <c r="AO120" s="1551"/>
      <c r="AP120" s="1551" t="str">
        <f t="shared" si="3"/>
        <v/>
      </c>
      <c r="AQ120" s="1551"/>
      <c r="AR120" s="1551"/>
      <c r="AS120" s="1562">
        <v>0</v>
      </c>
    </row>
    <row r="121" spans="1:45" s="1775" customFormat="1" ht="15" customHeight="1">
      <c r="A121" s="1290"/>
      <c r="B121" s="1290"/>
      <c r="C121" s="1290"/>
      <c r="D121" s="1290"/>
      <c r="E121" s="2897" t="s">
        <v>116</v>
      </c>
      <c r="F121" s="2897"/>
      <c r="G121" s="2897"/>
      <c r="H121" s="2897"/>
      <c r="I121" s="2899"/>
      <c r="J121" s="2898"/>
      <c r="K121" s="1290"/>
      <c r="L121" s="1296"/>
      <c r="M121" s="1293"/>
      <c r="N121" s="1293"/>
      <c r="O121" s="1702"/>
      <c r="P121" s="2900"/>
      <c r="Q121" s="2900"/>
      <c r="R121" s="293"/>
      <c r="S121" s="2320"/>
      <c r="T121" s="2321" t="s">
        <v>456</v>
      </c>
      <c r="U121" s="2322"/>
      <c r="V121" s="2323"/>
      <c r="W121" s="2324"/>
      <c r="X121" s="2325"/>
      <c r="Y121" s="2326"/>
      <c r="Z121" s="2327"/>
      <c r="AA121" s="2328"/>
      <c r="AB121" s="2329"/>
      <c r="AC121" s="2330"/>
      <c r="AD121" s="2331"/>
      <c r="AE121" s="2332"/>
      <c r="AF121" s="2333"/>
      <c r="AG121" s="2334"/>
      <c r="AH121" s="2335"/>
      <c r="AI121" s="2336"/>
      <c r="AJ121" s="2337"/>
      <c r="AK121" s="2338"/>
      <c r="AL121" s="2339"/>
      <c r="AM121" s="2921"/>
      <c r="AN121" s="1569"/>
      <c r="AO121" s="1551"/>
      <c r="AP121" s="1551" t="str">
        <f t="shared" si="3"/>
        <v>Добавить вид теплоносителя (параметры теплоносителя)</v>
      </c>
      <c r="AQ121" s="1551"/>
      <c r="AR121" s="1551"/>
      <c r="AS121" s="1562">
        <v>0</v>
      </c>
    </row>
    <row r="122" spans="1:45" s="1775" customFormat="1" ht="15" customHeight="1">
      <c r="A122" s="1290"/>
      <c r="B122" s="1290"/>
      <c r="C122" s="1290"/>
      <c r="D122" s="1290"/>
      <c r="E122" s="2897" t="s">
        <v>116</v>
      </c>
      <c r="F122" s="2897"/>
      <c r="G122" s="2897"/>
      <c r="H122" s="2897"/>
      <c r="I122" s="2898"/>
      <c r="J122" s="1290"/>
      <c r="K122" s="1290"/>
      <c r="L122" s="1296"/>
      <c r="M122" s="1293"/>
      <c r="N122" s="1702"/>
      <c r="O122" s="1702"/>
      <c r="P122" s="2900"/>
      <c r="Q122" s="2006"/>
      <c r="R122" s="293"/>
      <c r="S122" s="2340"/>
      <c r="T122" s="2341" t="s">
        <v>457</v>
      </c>
      <c r="U122" s="2342"/>
      <c r="V122" s="2343"/>
      <c r="W122" s="2344"/>
      <c r="X122" s="2345"/>
      <c r="Y122" s="2346"/>
      <c r="Z122" s="2347"/>
      <c r="AA122" s="2348"/>
      <c r="AB122" s="2349"/>
      <c r="AC122" s="2350"/>
      <c r="AD122" s="2351"/>
      <c r="AE122" s="2352"/>
      <c r="AF122" s="2353"/>
      <c r="AG122" s="2354"/>
      <c r="AH122" s="2355"/>
      <c r="AI122" s="2356"/>
      <c r="AJ122" s="2357"/>
      <c r="AK122" s="2358"/>
      <c r="AL122" s="2359"/>
      <c r="AM122" s="2360"/>
      <c r="AN122" s="1569"/>
      <c r="AO122" s="1551"/>
      <c r="AP122" s="1551" t="str">
        <f t="shared" si="3"/>
        <v>Добавить группу потребителей</v>
      </c>
      <c r="AQ122" s="1551"/>
      <c r="AR122" s="1551"/>
      <c r="AS122" s="1562">
        <v>0</v>
      </c>
    </row>
    <row r="123" spans="1:45" s="1775" customFormat="1" ht="14.25" customHeight="1">
      <c r="A123" s="1290"/>
      <c r="B123" s="1290"/>
      <c r="C123" s="1290"/>
      <c r="D123" s="1290"/>
      <c r="E123" s="2897" t="s">
        <v>116</v>
      </c>
      <c r="F123" s="2897"/>
      <c r="G123" s="2897"/>
      <c r="H123" s="2896"/>
      <c r="I123" s="1290"/>
      <c r="J123" s="1290"/>
      <c r="K123" s="1290"/>
      <c r="L123" s="1296"/>
      <c r="M123" s="1292"/>
      <c r="N123" s="1292"/>
      <c r="O123" s="1293"/>
      <c r="P123" s="1748"/>
      <c r="Q123" s="312"/>
      <c r="R123" s="292"/>
      <c r="S123" s="2361"/>
      <c r="T123" s="2362" t="s">
        <v>458</v>
      </c>
      <c r="U123" s="2363"/>
      <c r="V123" s="2364"/>
      <c r="W123" s="2365"/>
      <c r="X123" s="2366"/>
      <c r="Y123" s="2367"/>
      <c r="Z123" s="2368"/>
      <c r="AA123" s="2369"/>
      <c r="AB123" s="2370"/>
      <c r="AC123" s="2371"/>
      <c r="AD123" s="2372"/>
      <c r="AE123" s="2373"/>
      <c r="AF123" s="2374"/>
      <c r="AG123" s="2375"/>
      <c r="AH123" s="2376"/>
      <c r="AI123" s="2377"/>
      <c r="AJ123" s="2378"/>
      <c r="AK123" s="2379"/>
      <c r="AL123" s="2380"/>
      <c r="AM123" s="2381"/>
      <c r="AN123" s="1569"/>
      <c r="AO123" s="1551"/>
      <c r="AP123" s="1551" t="str">
        <f t="shared" si="3"/>
        <v>Добавить схему подключения</v>
      </c>
      <c r="AQ123" s="1551"/>
      <c r="AR123" s="1551"/>
      <c r="AS123" s="1562">
        <v>0</v>
      </c>
    </row>
    <row r="124" spans="1:45" s="559" customFormat="1" ht="0.75" customHeight="1">
      <c r="A124" s="1270"/>
      <c r="B124" s="1270"/>
      <c r="C124" s="1270"/>
      <c r="D124" s="1270"/>
      <c r="E124" s="2897" t="s">
        <v>116</v>
      </c>
      <c r="F124" s="2897"/>
      <c r="G124" s="2896"/>
      <c r="H124" s="1270"/>
      <c r="I124" s="1270"/>
      <c r="J124" s="1270"/>
      <c r="K124" s="1270"/>
      <c r="L124" s="1472"/>
      <c r="M124" s="1242"/>
      <c r="N124" s="1242"/>
      <c r="O124" s="1569"/>
      <c r="P124" s="1243"/>
      <c r="Q124" s="1271"/>
      <c r="R124" s="1243"/>
      <c r="S124" s="1245"/>
      <c r="T124" s="1246" t="s">
        <v>174</v>
      </c>
      <c r="U124" s="1247"/>
      <c r="V124" s="1247"/>
      <c r="W124" s="1247"/>
      <c r="X124" s="1247"/>
      <c r="Y124" s="1247"/>
      <c r="Z124" s="1247"/>
      <c r="AA124" s="1247"/>
      <c r="AB124" s="1247"/>
      <c r="AC124" s="1247"/>
      <c r="AD124" s="1247"/>
      <c r="AE124" s="1247"/>
      <c r="AF124" s="1247"/>
      <c r="AG124" s="1247"/>
      <c r="AH124" s="1247"/>
      <c r="AI124" s="1247"/>
      <c r="AJ124" s="1247"/>
      <c r="AK124" s="1247"/>
      <c r="AL124" s="1247"/>
      <c r="AM124" s="1247"/>
      <c r="AN124" s="1569"/>
      <c r="AO124" s="1551"/>
      <c r="AP124" s="1551" t="str">
        <f t="shared" si="3"/>
        <v>Добавить источник для дифференциации</v>
      </c>
      <c r="AQ124" s="1551"/>
      <c r="AR124" s="1551"/>
      <c r="AS124" s="1569">
        <v>0</v>
      </c>
    </row>
    <row r="125" spans="1:45" s="559" customFormat="1" ht="0.75" customHeight="1">
      <c r="A125" s="1270"/>
      <c r="B125" s="1270"/>
      <c r="C125" s="1270"/>
      <c r="D125" s="1270"/>
      <c r="E125" s="2897" t="s">
        <v>116</v>
      </c>
      <c r="F125" s="2896"/>
      <c r="G125" s="1270"/>
      <c r="H125" s="1270"/>
      <c r="I125" s="1270"/>
      <c r="J125" s="1270"/>
      <c r="K125" s="1270"/>
      <c r="L125" s="1472"/>
      <c r="M125" s="1248"/>
      <c r="N125" s="1248"/>
      <c r="O125" s="1569"/>
      <c r="P125" s="1243"/>
      <c r="Q125" s="1271"/>
      <c r="R125" s="1243"/>
      <c r="S125" s="1249"/>
      <c r="T125" s="1250" t="s">
        <v>176</v>
      </c>
      <c r="U125" s="1251"/>
      <c r="V125" s="1251"/>
      <c r="W125" s="1251"/>
      <c r="X125" s="1251"/>
      <c r="Y125" s="1251"/>
      <c r="Z125" s="1251"/>
      <c r="AA125" s="1251"/>
      <c r="AB125" s="1251"/>
      <c r="AC125" s="1251"/>
      <c r="AD125" s="1251"/>
      <c r="AE125" s="1251"/>
      <c r="AF125" s="1251"/>
      <c r="AG125" s="1251"/>
      <c r="AH125" s="1251"/>
      <c r="AI125" s="1251"/>
      <c r="AJ125" s="1251"/>
      <c r="AK125" s="1251"/>
      <c r="AL125" s="1251"/>
      <c r="AM125" s="1251"/>
      <c r="AN125" s="1569"/>
      <c r="AO125" s="1551"/>
      <c r="AP125" s="1551" t="str">
        <f t="shared" si="3"/>
        <v>Добавить централизованную систему для дифференциации</v>
      </c>
      <c r="AQ125" s="1551"/>
      <c r="AR125" s="1551"/>
      <c r="AS125" s="1569">
        <v>0</v>
      </c>
    </row>
    <row r="126" spans="1:45" s="559" customFormat="1" ht="0.75" customHeight="1">
      <c r="A126" s="1270"/>
      <c r="B126" s="1270"/>
      <c r="C126" s="1270"/>
      <c r="D126" s="1270"/>
      <c r="E126" s="2896" t="s">
        <v>116</v>
      </c>
      <c r="F126" s="1270"/>
      <c r="G126" s="1270"/>
      <c r="H126" s="1270"/>
      <c r="I126" s="1270"/>
      <c r="J126" s="1270"/>
      <c r="K126" s="1270"/>
      <c r="L126" s="1472"/>
      <c r="M126" s="1248"/>
      <c r="N126" s="1248"/>
      <c r="O126" s="1569"/>
      <c r="P126" s="1243"/>
      <c r="Q126" s="1271"/>
      <c r="R126" s="1243"/>
      <c r="S126" s="1249"/>
      <c r="T126" s="1252" t="s">
        <v>178</v>
      </c>
      <c r="U126" s="1251"/>
      <c r="V126" s="1251"/>
      <c r="W126" s="1251"/>
      <c r="X126" s="1251"/>
      <c r="Y126" s="1251"/>
      <c r="Z126" s="1251"/>
      <c r="AA126" s="1251"/>
      <c r="AB126" s="1251"/>
      <c r="AC126" s="1251"/>
      <c r="AD126" s="1251"/>
      <c r="AE126" s="1251"/>
      <c r="AF126" s="1251"/>
      <c r="AG126" s="1251"/>
      <c r="AH126" s="1251"/>
      <c r="AI126" s="1251"/>
      <c r="AJ126" s="1251"/>
      <c r="AK126" s="1251"/>
      <c r="AL126" s="1251"/>
      <c r="AM126" s="1251"/>
      <c r="AN126" s="1569"/>
      <c r="AO126" s="1551"/>
      <c r="AP126" s="1551" t="str">
        <f t="shared" si="3"/>
        <v>Добавить территорию для дифференциации</v>
      </c>
      <c r="AQ126" s="1551"/>
      <c r="AR126" s="1551"/>
      <c r="AS126" s="1569">
        <v>0</v>
      </c>
    </row>
    <row r="127" spans="1:45" s="1775" customFormat="1" ht="21" customHeight="1">
      <c r="A127" s="1290" t="s">
        <v>203</v>
      </c>
      <c r="B127" s="1290"/>
      <c r="C127" s="1290"/>
      <c r="D127" s="1290"/>
      <c r="E127" s="2896" t="s">
        <v>98</v>
      </c>
      <c r="F127" s="1290"/>
      <c r="G127" s="1290"/>
      <c r="H127" s="1290"/>
      <c r="I127" s="1290"/>
      <c r="J127" s="1290"/>
      <c r="K127" s="1290"/>
      <c r="L127" s="1296"/>
      <c r="M127" s="1292"/>
      <c r="N127" s="1292"/>
      <c r="O127" s="1292"/>
      <c r="P127" s="2007"/>
      <c r="Q127" s="1748"/>
      <c r="R127" s="292"/>
      <c r="S127" s="2003" t="str">
        <f>INDEX(PT_DIFFERENTIATION_NUM_NTAR,MATCH(A127,PT_DIFFERENTIATION_NTAR_ID,0))</f>
        <v>7</v>
      </c>
      <c r="T127" s="1452" t="s">
        <v>128</v>
      </c>
      <c r="U127" s="238"/>
      <c r="V127" s="2890"/>
      <c r="W127" s="2891"/>
      <c r="X127" s="2891"/>
      <c r="Y127" s="2891"/>
      <c r="Z127" s="2891"/>
      <c r="AA127" s="2891"/>
      <c r="AB127" s="2891"/>
      <c r="AC127" s="2892"/>
      <c r="AD127" s="2890" t="str">
        <f>INDEX(PT_DIFFERENTIATION_NTAR,MATCH(A127,PT_DIFFERENTIATION_NTAR_ID,0))</f>
        <v>Тарифы на тепловую энергию, поставляемую потребителям г. Тюмени от котельной, расположенной по адресу: г.Тюмень, ул. Сказочная, 26, строение 2 (Котельная № 14)</v>
      </c>
      <c r="AE127" s="2891"/>
      <c r="AF127" s="2891"/>
      <c r="AG127" s="2891"/>
      <c r="AH127" s="2891"/>
      <c r="AI127" s="2891"/>
      <c r="AJ127" s="2891"/>
      <c r="AK127" s="2891"/>
      <c r="AL127" s="2892"/>
      <c r="AM127" s="1185" t="s">
        <v>441</v>
      </c>
      <c r="AN127" s="1569"/>
      <c r="AO127" s="1551"/>
      <c r="AP127" s="1551" t="str">
        <f t="shared" si="3"/>
        <v>Наименование тарифа</v>
      </c>
      <c r="AQ127" s="1551"/>
      <c r="AR127" s="1551"/>
      <c r="AS127" s="1562">
        <v>0</v>
      </c>
    </row>
    <row r="128" spans="1:45" s="1775" customFormat="1" ht="21" customHeight="1">
      <c r="A128" s="1290"/>
      <c r="B128" s="1290" t="s">
        <v>204</v>
      </c>
      <c r="C128" s="1290"/>
      <c r="D128" s="1290"/>
      <c r="E128" s="2897" t="s">
        <v>97</v>
      </c>
      <c r="F128" s="2896">
        <v>1</v>
      </c>
      <c r="G128" s="1290"/>
      <c r="H128" s="1290"/>
      <c r="I128" s="1290"/>
      <c r="J128" s="1290"/>
      <c r="K128" s="1290"/>
      <c r="L128" s="1296"/>
      <c r="M128" s="1292"/>
      <c r="N128" s="1292"/>
      <c r="O128" s="1292"/>
      <c r="P128" s="2000"/>
      <c r="Q128" s="289"/>
      <c r="R128" s="290"/>
      <c r="S128" s="2003" t="str">
        <f>INDEX(PT_DIFFERENTIATION_NUM_TER,MATCH(B128,PT_DIFFERENTIATION_TER_ID,0))</f>
        <v>7.1</v>
      </c>
      <c r="T128" s="1449" t="s">
        <v>442</v>
      </c>
      <c r="U128" s="238"/>
      <c r="V128" s="2890"/>
      <c r="W128" s="2891"/>
      <c r="X128" s="2891"/>
      <c r="Y128" s="2891"/>
      <c r="Z128" s="2891"/>
      <c r="AA128" s="2891"/>
      <c r="AB128" s="2891"/>
      <c r="AC128" s="2892"/>
      <c r="AD128" s="2890" t="str">
        <f>INDEX(PT_DIFFERENTIATION_TER,MATCH(B128,PT_DIFFERENTIATION_TER_ID,0))</f>
        <v>без дифференциации</v>
      </c>
      <c r="AE128" s="2891"/>
      <c r="AF128" s="2891"/>
      <c r="AG128" s="2891"/>
      <c r="AH128" s="2891"/>
      <c r="AI128" s="2891"/>
      <c r="AJ128" s="2891"/>
      <c r="AK128" s="2891"/>
      <c r="AL128" s="2892"/>
      <c r="AM128" s="1185" t="s">
        <v>443</v>
      </c>
      <c r="AN128" s="1569"/>
      <c r="AO128" s="1551"/>
      <c r="AP128" s="1551" t="str">
        <f t="shared" si="3"/>
        <v>Территория действия тарифа</v>
      </c>
      <c r="AQ128" s="1551"/>
      <c r="AR128" s="1551"/>
      <c r="AS128" s="1562">
        <v>0</v>
      </c>
    </row>
    <row r="129" spans="1:45" s="1775" customFormat="1" ht="23.25" customHeight="1">
      <c r="A129" s="1290"/>
      <c r="B129" s="1290"/>
      <c r="C129" s="1290" t="s">
        <v>205</v>
      </c>
      <c r="D129" s="1290"/>
      <c r="E129" s="2897" t="s">
        <v>97</v>
      </c>
      <c r="F129" s="2897"/>
      <c r="G129" s="2896">
        <v>1</v>
      </c>
      <c r="H129" s="1290"/>
      <c r="I129" s="1290"/>
      <c r="J129" s="1290"/>
      <c r="K129" s="1290"/>
      <c r="L129" s="1296"/>
      <c r="M129" s="1292"/>
      <c r="N129" s="1292"/>
      <c r="O129" s="1292"/>
      <c r="P129" s="291"/>
      <c r="Q129" s="289"/>
      <c r="R129" s="290"/>
      <c r="S129" s="2003" t="str">
        <f>INDEX(PT_DIFFERENTIATION_NUM_CS,MATCH(C129,PT_DIFFERENTIATION_CS_ID,0))</f>
        <v>7.1.1</v>
      </c>
      <c r="T129" s="247" t="s">
        <v>444</v>
      </c>
      <c r="U129" s="238"/>
      <c r="V129" s="2890"/>
      <c r="W129" s="2891"/>
      <c r="X129" s="2891"/>
      <c r="Y129" s="2891"/>
      <c r="Z129" s="2891"/>
      <c r="AA129" s="2891"/>
      <c r="AB129" s="2891"/>
      <c r="AC129" s="2892"/>
      <c r="AD129" s="2890" t="str">
        <f>INDEX(PT_DIFFERENTIATION_CS,MATCH(C129,PT_DIFFERENTIATION_CS_ID,0))</f>
        <v>без дифференциации</v>
      </c>
      <c r="AE129" s="2891"/>
      <c r="AF129" s="2891"/>
      <c r="AG129" s="2891"/>
      <c r="AH129" s="2891"/>
      <c r="AI129" s="2891"/>
      <c r="AJ129" s="2891"/>
      <c r="AK129" s="2891"/>
      <c r="AL129" s="2892"/>
      <c r="AM129" s="1185" t="s">
        <v>445</v>
      </c>
      <c r="AN129" s="1569"/>
      <c r="AO129" s="1551"/>
      <c r="AP129" s="1551" t="str">
        <f t="shared" si="3"/>
        <v xml:space="preserve">Наименование системы теплоснабжения </v>
      </c>
      <c r="AQ129" s="1551"/>
      <c r="AR129" s="1551"/>
      <c r="AS129" s="1562">
        <v>0</v>
      </c>
    </row>
    <row r="130" spans="1:45" s="1775" customFormat="1" ht="21" customHeight="1">
      <c r="A130" s="1290"/>
      <c r="B130" s="1290"/>
      <c r="C130" s="1290"/>
      <c r="D130" s="1290" t="s">
        <v>206</v>
      </c>
      <c r="E130" s="2897" t="s">
        <v>97</v>
      </c>
      <c r="F130" s="2897"/>
      <c r="G130" s="2897"/>
      <c r="H130" s="2896">
        <v>1</v>
      </c>
      <c r="I130" s="1290"/>
      <c r="J130" s="1290"/>
      <c r="K130" s="1290"/>
      <c r="L130" s="1296"/>
      <c r="M130" s="1292"/>
      <c r="N130" s="1292"/>
      <c r="O130" s="1292"/>
      <c r="P130" s="291"/>
      <c r="Q130" s="289"/>
      <c r="R130" s="290"/>
      <c r="S130" s="2003" t="str">
        <f>INDEX(PT_DIFFERENTIATION_NUM_IST_TE,MATCH(D130,PT_DIFFERENTIATION_IST_TE_ID,0))</f>
        <v>7.1.1.1</v>
      </c>
      <c r="T130" s="248" t="s">
        <v>446</v>
      </c>
      <c r="U130" s="238"/>
      <c r="V130" s="2890"/>
      <c r="W130" s="2891"/>
      <c r="X130" s="2891"/>
      <c r="Y130" s="2891"/>
      <c r="Z130" s="2891"/>
      <c r="AA130" s="2891"/>
      <c r="AB130" s="2891"/>
      <c r="AC130" s="2892"/>
      <c r="AD130" s="2890" t="str">
        <f>INDEX(PT_DIFFERENTIATION_IST_TE,MATCH(D130,PT_DIFFERENTIATION_IST_TE_ID,0))</f>
        <v>без дифференциации</v>
      </c>
      <c r="AE130" s="2891"/>
      <c r="AF130" s="2891"/>
      <c r="AG130" s="2891"/>
      <c r="AH130" s="2891"/>
      <c r="AI130" s="2891"/>
      <c r="AJ130" s="2891"/>
      <c r="AK130" s="2891"/>
      <c r="AL130" s="2892"/>
      <c r="AM130" s="1185" t="s">
        <v>447</v>
      </c>
      <c r="AN130" s="1569"/>
      <c r="AO130" s="1551"/>
      <c r="AP130" s="1551" t="str">
        <f t="shared" si="3"/>
        <v xml:space="preserve">Источник тепловой энергии  </v>
      </c>
      <c r="AQ130" s="1551"/>
      <c r="AR130" s="1551"/>
      <c r="AS130" s="1562">
        <v>0</v>
      </c>
    </row>
    <row r="131" spans="1:45" s="1775" customFormat="1" ht="101.25" customHeight="1">
      <c r="A131" s="1290"/>
      <c r="B131" s="1290"/>
      <c r="C131" s="1290"/>
      <c r="D131" s="1290"/>
      <c r="E131" s="2897" t="s">
        <v>97</v>
      </c>
      <c r="F131" s="2897"/>
      <c r="G131" s="2897"/>
      <c r="H131" s="2897"/>
      <c r="I131" s="2898" t="str">
        <f>S130&amp;".1"</f>
        <v>7.1.1.1.1</v>
      </c>
      <c r="J131" s="1290"/>
      <c r="K131" s="1290"/>
      <c r="L131" s="1296" t="s">
        <v>448</v>
      </c>
      <c r="M131" s="1293"/>
      <c r="N131" s="1702"/>
      <c r="O131" s="1702"/>
      <c r="P131" s="2900">
        <v>1</v>
      </c>
      <c r="Q131" s="2006"/>
      <c r="R131" s="293"/>
      <c r="S131" s="2003" t="str">
        <f>$I131</f>
        <v>7.1.1.1.1</v>
      </c>
      <c r="T131" s="223" t="s">
        <v>449</v>
      </c>
      <c r="U131" s="238"/>
      <c r="V131" s="2884"/>
      <c r="W131" s="2885"/>
      <c r="X131" s="2885"/>
      <c r="Y131" s="2885"/>
      <c r="Z131" s="2885"/>
      <c r="AA131" s="2885"/>
      <c r="AB131" s="2885"/>
      <c r="AC131" s="2886"/>
      <c r="AD131" s="2884" t="s">
        <v>491</v>
      </c>
      <c r="AE131" s="2885"/>
      <c r="AF131" s="2885"/>
      <c r="AG131" s="2885"/>
      <c r="AH131" s="2885"/>
      <c r="AI131" s="2885"/>
      <c r="AJ131" s="2885"/>
      <c r="AK131" s="2885"/>
      <c r="AL131" s="2886"/>
      <c r="AM131" s="1185" t="s">
        <v>450</v>
      </c>
      <c r="AN131" s="1569"/>
      <c r="AO131" s="1551"/>
      <c r="AP131" s="1551" t="str">
        <f t="shared" si="3"/>
        <v>Схема подключения теплопотребляющей установки к коллектору источника тепловой энергии</v>
      </c>
      <c r="AQ131" s="1551"/>
      <c r="AR131" s="1551"/>
      <c r="AS131" s="1562">
        <v>0</v>
      </c>
    </row>
    <row r="132" spans="1:45" s="1775" customFormat="1" ht="87.75" customHeight="1">
      <c r="A132" s="1290"/>
      <c r="B132" s="1290"/>
      <c r="C132" s="1290"/>
      <c r="D132" s="1290"/>
      <c r="E132" s="2897" t="s">
        <v>97</v>
      </c>
      <c r="F132" s="2897"/>
      <c r="G132" s="2897"/>
      <c r="H132" s="2897"/>
      <c r="I132" s="2899"/>
      <c r="J132" s="2898" t="str">
        <f>I131&amp;".1"</f>
        <v>7.1.1.1.1.1</v>
      </c>
      <c r="K132" s="1290"/>
      <c r="L132" s="1296" t="s">
        <v>451</v>
      </c>
      <c r="M132" s="1293"/>
      <c r="N132" s="1293"/>
      <c r="O132" s="1702"/>
      <c r="P132" s="2900"/>
      <c r="Q132" s="2900">
        <v>1</v>
      </c>
      <c r="R132" s="294"/>
      <c r="S132" s="2003" t="str">
        <f>$J132</f>
        <v>7.1.1.1.1.1</v>
      </c>
      <c r="T132" s="224" t="s">
        <v>452</v>
      </c>
      <c r="U132" s="238"/>
      <c r="V132" s="2884"/>
      <c r="W132" s="2885"/>
      <c r="X132" s="2885"/>
      <c r="Y132" s="2885"/>
      <c r="Z132" s="2885"/>
      <c r="AA132" s="2885"/>
      <c r="AB132" s="2885"/>
      <c r="AC132" s="2886"/>
      <c r="AD132" s="2884" t="s">
        <v>492</v>
      </c>
      <c r="AE132" s="2885"/>
      <c r="AF132" s="2885"/>
      <c r="AG132" s="2885"/>
      <c r="AH132" s="2885"/>
      <c r="AI132" s="2885"/>
      <c r="AJ132" s="2885"/>
      <c r="AK132" s="2885"/>
      <c r="AL132" s="2886"/>
      <c r="AM132" s="1185" t="s">
        <v>453</v>
      </c>
      <c r="AN132" s="1569"/>
      <c r="AO132" s="1551"/>
      <c r="AP132" s="1551" t="str">
        <f t="shared" si="3"/>
        <v>Группа потребителей</v>
      </c>
      <c r="AQ132" s="1551"/>
      <c r="AR132" s="1551"/>
      <c r="AS132" s="1562">
        <v>0</v>
      </c>
    </row>
    <row r="133" spans="1:45" s="1775" customFormat="1" ht="21" customHeight="1">
      <c r="A133" s="1290"/>
      <c r="B133" s="1290"/>
      <c r="C133" s="1290"/>
      <c r="D133" s="1290"/>
      <c r="E133" s="2897" t="s">
        <v>97</v>
      </c>
      <c r="F133" s="2897"/>
      <c r="G133" s="2897"/>
      <c r="H133" s="2897"/>
      <c r="I133" s="2899"/>
      <c r="J133" s="2899"/>
      <c r="K133" s="2898" t="str">
        <f>J132&amp;".1"</f>
        <v>7.1.1.1.1.1.1</v>
      </c>
      <c r="L133" s="1296" t="s">
        <v>454</v>
      </c>
      <c r="M133" s="1293"/>
      <c r="N133" s="1293"/>
      <c r="O133" s="1293"/>
      <c r="P133" s="2900"/>
      <c r="Q133" s="2900"/>
      <c r="R133" s="294">
        <v>1</v>
      </c>
      <c r="S133" s="2003" t="str">
        <f>$K133</f>
        <v>7.1.1.1.1.1.1</v>
      </c>
      <c r="T133" s="1274" t="s">
        <v>493</v>
      </c>
      <c r="U133" s="238"/>
      <c r="V133" s="688"/>
      <c r="W133" s="263"/>
      <c r="X133" s="688"/>
      <c r="Y133" s="1184"/>
      <c r="Z133" s="2901"/>
      <c r="AA133" s="2768" t="s">
        <v>71</v>
      </c>
      <c r="AB133" s="2901"/>
      <c r="AC133" s="2768" t="s">
        <v>71</v>
      </c>
      <c r="AD133" s="688">
        <v>4128.9799999999996</v>
      </c>
      <c r="AE133" s="263"/>
      <c r="AF133" s="688"/>
      <c r="AG133" s="1184"/>
      <c r="AH133" s="2901" t="s">
        <v>22</v>
      </c>
      <c r="AI133" s="2768" t="s">
        <v>71</v>
      </c>
      <c r="AJ133" s="2901" t="s">
        <v>26</v>
      </c>
      <c r="AK133" s="2768" t="s">
        <v>71</v>
      </c>
      <c r="AL133" s="263"/>
      <c r="AM133" s="2919" t="s">
        <v>455</v>
      </c>
      <c r="AN133" s="1569" t="e">
        <f ca="1">STRCHECKDATE(V134:AL134)</f>
        <v>#NAME?</v>
      </c>
      <c r="AO133" s="1551"/>
      <c r="AP133" s="1551" t="str">
        <f t="shared" si="3"/>
        <v>вода</v>
      </c>
      <c r="AQ133" s="1551"/>
      <c r="AR133" s="1551"/>
      <c r="AS133" s="1562">
        <v>0</v>
      </c>
    </row>
    <row r="134" spans="1:45" s="1775" customFormat="1" ht="0.75" customHeight="1">
      <c r="A134" s="1290"/>
      <c r="B134" s="1290"/>
      <c r="C134" s="1290"/>
      <c r="D134" s="1290"/>
      <c r="E134" s="2897" t="s">
        <v>97</v>
      </c>
      <c r="F134" s="2897"/>
      <c r="G134" s="2897"/>
      <c r="H134" s="2897"/>
      <c r="I134" s="2899"/>
      <c r="J134" s="2899"/>
      <c r="K134" s="2898"/>
      <c r="L134" s="1296"/>
      <c r="M134" s="1293"/>
      <c r="N134" s="1293"/>
      <c r="O134" s="1293"/>
      <c r="P134" s="2900"/>
      <c r="Q134" s="2900"/>
      <c r="R134" s="294"/>
      <c r="S134" s="2010"/>
      <c r="T134" s="238"/>
      <c r="U134" s="238"/>
      <c r="V134" s="263"/>
      <c r="W134" s="263"/>
      <c r="X134" s="263"/>
      <c r="Y134" s="266" t="str">
        <f>Z133&amp;"-"&amp;AB133</f>
        <v>-</v>
      </c>
      <c r="Z134" s="2902"/>
      <c r="AA134" s="2768"/>
      <c r="AB134" s="2902"/>
      <c r="AC134" s="2768"/>
      <c r="AD134" s="263"/>
      <c r="AE134" s="263"/>
      <c r="AF134" s="263"/>
      <c r="AG134" s="266" t="str">
        <f>AH133&amp;"-"&amp;AJ133</f>
        <v>01.01.2025-31.12.2025</v>
      </c>
      <c r="AH134" s="2902"/>
      <c r="AI134" s="2768"/>
      <c r="AJ134" s="2902"/>
      <c r="AK134" s="2768"/>
      <c r="AL134" s="263"/>
      <c r="AM134" s="2920"/>
      <c r="AN134" s="1569"/>
      <c r="AO134" s="1551"/>
      <c r="AP134" s="1551" t="str">
        <f t="shared" si="3"/>
        <v/>
      </c>
      <c r="AQ134" s="1551"/>
      <c r="AR134" s="1551"/>
      <c r="AS134" s="1562">
        <v>0</v>
      </c>
    </row>
    <row r="135" spans="1:45" s="1775" customFormat="1" ht="183" customHeight="1">
      <c r="A135" s="1290"/>
      <c r="B135" s="1290"/>
      <c r="C135" s="1290"/>
      <c r="D135" s="1290"/>
      <c r="E135" s="2897" t="s">
        <v>97</v>
      </c>
      <c r="F135" s="2897"/>
      <c r="G135" s="2897"/>
      <c r="H135" s="2897"/>
      <c r="I135" s="2899"/>
      <c r="J135" s="2898"/>
      <c r="K135" s="1290"/>
      <c r="L135" s="1296"/>
      <c r="M135" s="1293"/>
      <c r="N135" s="1293"/>
      <c r="O135" s="1702"/>
      <c r="P135" s="2900"/>
      <c r="Q135" s="2900"/>
      <c r="R135" s="293"/>
      <c r="S135" s="2382"/>
      <c r="T135" s="2383" t="s">
        <v>456</v>
      </c>
      <c r="U135" s="2384"/>
      <c r="V135" s="2385"/>
      <c r="W135" s="2386"/>
      <c r="X135" s="2387"/>
      <c r="Y135" s="2388"/>
      <c r="Z135" s="2389"/>
      <c r="AA135" s="2390"/>
      <c r="AB135" s="2391"/>
      <c r="AC135" s="2392"/>
      <c r="AD135" s="2393"/>
      <c r="AE135" s="2394"/>
      <c r="AF135" s="2395"/>
      <c r="AG135" s="2396"/>
      <c r="AH135" s="2397"/>
      <c r="AI135" s="2398"/>
      <c r="AJ135" s="2399"/>
      <c r="AK135" s="2400"/>
      <c r="AL135" s="2401"/>
      <c r="AM135" s="2921"/>
      <c r="AN135" s="1569"/>
      <c r="AO135" s="1551"/>
      <c r="AP135" s="1551" t="str">
        <f t="shared" si="3"/>
        <v>Добавить вид теплоносителя (параметры теплоносителя)</v>
      </c>
      <c r="AQ135" s="1551"/>
      <c r="AR135" s="1551"/>
      <c r="AS135" s="1562">
        <v>0</v>
      </c>
    </row>
    <row r="136" spans="1:45" s="1775" customFormat="1" ht="87.75" customHeight="1">
      <c r="A136" s="1290"/>
      <c r="B136" s="1290"/>
      <c r="C136" s="1290"/>
      <c r="D136" s="1290"/>
      <c r="E136" s="2897"/>
      <c r="F136" s="2897"/>
      <c r="G136" s="2897"/>
      <c r="H136" s="2897"/>
      <c r="I136" s="2899"/>
      <c r="J136" s="2898" t="str">
        <f>I131&amp;".2"</f>
        <v>7.1.1.1.1.2</v>
      </c>
      <c r="K136" s="1290"/>
      <c r="L136" s="1296" t="s">
        <v>451</v>
      </c>
      <c r="M136" s="1293"/>
      <c r="N136" s="1293"/>
      <c r="O136" s="1702"/>
      <c r="P136" s="2900"/>
      <c r="Q136" s="2922" t="s">
        <v>179</v>
      </c>
      <c r="R136" s="294"/>
      <c r="S136" s="2003" t="str">
        <f>$J136</f>
        <v>7.1.1.1.1.2</v>
      </c>
      <c r="T136" s="224" t="s">
        <v>452</v>
      </c>
      <c r="U136" s="238"/>
      <c r="V136" s="2884"/>
      <c r="W136" s="2885"/>
      <c r="X136" s="2885"/>
      <c r="Y136" s="2885"/>
      <c r="Z136" s="2885"/>
      <c r="AA136" s="2885"/>
      <c r="AB136" s="2885"/>
      <c r="AC136" s="2886"/>
      <c r="AD136" s="2884" t="s">
        <v>495</v>
      </c>
      <c r="AE136" s="2885"/>
      <c r="AF136" s="2885"/>
      <c r="AG136" s="2885"/>
      <c r="AH136" s="2885"/>
      <c r="AI136" s="2885"/>
      <c r="AJ136" s="2885"/>
      <c r="AK136" s="2885"/>
      <c r="AL136" s="2886"/>
      <c r="AM136" s="1185" t="s">
        <v>453</v>
      </c>
      <c r="AN136" s="1569"/>
      <c r="AO136" s="1551"/>
      <c r="AP136" s="1551" t="str">
        <f t="shared" si="3"/>
        <v>Группа потребителей</v>
      </c>
      <c r="AQ136" s="1551"/>
      <c r="AR136" s="1551"/>
      <c r="AS136" s="1562">
        <v>0</v>
      </c>
    </row>
    <row r="137" spans="1:45" s="1775" customFormat="1" ht="21" customHeight="1">
      <c r="A137" s="1290"/>
      <c r="B137" s="1290"/>
      <c r="C137" s="1290"/>
      <c r="D137" s="1290"/>
      <c r="E137" s="2897"/>
      <c r="F137" s="2897"/>
      <c r="G137" s="2897"/>
      <c r="H137" s="2897"/>
      <c r="I137" s="2899"/>
      <c r="J137" s="2899" t="str">
        <f>I131&amp;".1"</f>
        <v>7.1.1.1.1.1</v>
      </c>
      <c r="K137" s="2898" t="str">
        <f>J136&amp;".1"</f>
        <v>7.1.1.1.1.2.1</v>
      </c>
      <c r="L137" s="1296" t="s">
        <v>454</v>
      </c>
      <c r="M137" s="1293"/>
      <c r="N137" s="1293"/>
      <c r="O137" s="1293"/>
      <c r="P137" s="2900"/>
      <c r="Q137" s="2900"/>
      <c r="R137" s="294">
        <v>1</v>
      </c>
      <c r="S137" s="2003" t="str">
        <f>$K137</f>
        <v>7.1.1.1.1.2.1</v>
      </c>
      <c r="T137" s="1274" t="s">
        <v>493</v>
      </c>
      <c r="U137" s="238"/>
      <c r="V137" s="688"/>
      <c r="W137" s="263"/>
      <c r="X137" s="688"/>
      <c r="Y137" s="1184"/>
      <c r="Z137" s="2901"/>
      <c r="AA137" s="2768" t="s">
        <v>71</v>
      </c>
      <c r="AB137" s="2901"/>
      <c r="AC137" s="2768" t="s">
        <v>71</v>
      </c>
      <c r="AD137" s="688">
        <f>AD133</f>
        <v>4128.9799999999996</v>
      </c>
      <c r="AE137" s="263"/>
      <c r="AF137" s="688"/>
      <c r="AG137" s="1184"/>
      <c r="AH137" s="2901" t="s">
        <v>22</v>
      </c>
      <c r="AI137" s="2768" t="s">
        <v>71</v>
      </c>
      <c r="AJ137" s="2901" t="s">
        <v>26</v>
      </c>
      <c r="AK137" s="2768" t="s">
        <v>71</v>
      </c>
      <c r="AL137" s="263"/>
      <c r="AM137" s="2919" t="s">
        <v>455</v>
      </c>
      <c r="AN137" s="1569" t="e">
        <f ca="1">STRCHECKDATE(V138:AL138)</f>
        <v>#NAME?</v>
      </c>
      <c r="AO137" s="1551"/>
      <c r="AP137" s="1551" t="str">
        <f t="shared" si="3"/>
        <v>вода</v>
      </c>
      <c r="AQ137" s="1551"/>
      <c r="AR137" s="1551"/>
      <c r="AS137" s="1562">
        <v>0</v>
      </c>
    </row>
    <row r="138" spans="1:45" s="1775" customFormat="1" ht="0.75" customHeight="1">
      <c r="A138" s="1290"/>
      <c r="B138" s="1290"/>
      <c r="C138" s="1290"/>
      <c r="D138" s="1290"/>
      <c r="E138" s="2897"/>
      <c r="F138" s="2897"/>
      <c r="G138" s="2897"/>
      <c r="H138" s="2897"/>
      <c r="I138" s="2899"/>
      <c r="J138" s="2899" t="str">
        <f>I131&amp;".1"</f>
        <v>7.1.1.1.1.1</v>
      </c>
      <c r="K138" s="2898"/>
      <c r="L138" s="1296"/>
      <c r="M138" s="1293"/>
      <c r="N138" s="1293"/>
      <c r="O138" s="1293"/>
      <c r="P138" s="2900"/>
      <c r="Q138" s="2900"/>
      <c r="R138" s="294"/>
      <c r="S138" s="2010"/>
      <c r="T138" s="238"/>
      <c r="U138" s="238"/>
      <c r="V138" s="263"/>
      <c r="W138" s="263"/>
      <c r="X138" s="263"/>
      <c r="Y138" s="266" t="str">
        <f>Z137&amp;"-"&amp;AB137</f>
        <v>-</v>
      </c>
      <c r="Z138" s="2902"/>
      <c r="AA138" s="2768"/>
      <c r="AB138" s="2902"/>
      <c r="AC138" s="2768"/>
      <c r="AD138" s="263"/>
      <c r="AE138" s="263"/>
      <c r="AF138" s="263"/>
      <c r="AG138" s="266" t="str">
        <f>AH137&amp;"-"&amp;AJ137</f>
        <v>01.01.2025-31.12.2025</v>
      </c>
      <c r="AH138" s="2902"/>
      <c r="AI138" s="2768"/>
      <c r="AJ138" s="2902"/>
      <c r="AK138" s="2768"/>
      <c r="AL138" s="263"/>
      <c r="AM138" s="2920"/>
      <c r="AN138" s="1569"/>
      <c r="AO138" s="1551"/>
      <c r="AP138" s="1551" t="str">
        <f t="shared" si="3"/>
        <v/>
      </c>
      <c r="AQ138" s="1551"/>
      <c r="AR138" s="1551"/>
      <c r="AS138" s="1562">
        <v>0</v>
      </c>
    </row>
    <row r="139" spans="1:45" s="1775" customFormat="1" ht="184.5" customHeight="1">
      <c r="A139" s="1290"/>
      <c r="B139" s="1290"/>
      <c r="C139" s="1290"/>
      <c r="D139" s="1290"/>
      <c r="E139" s="2897"/>
      <c r="F139" s="2897"/>
      <c r="G139" s="2897"/>
      <c r="H139" s="2897"/>
      <c r="I139" s="2899"/>
      <c r="J139" s="2898" t="str">
        <f>I131&amp;".1"</f>
        <v>7.1.1.1.1.1</v>
      </c>
      <c r="K139" s="1290"/>
      <c r="L139" s="1296"/>
      <c r="M139" s="1293"/>
      <c r="N139" s="1293"/>
      <c r="O139" s="1702"/>
      <c r="P139" s="2900"/>
      <c r="Q139" s="2900"/>
      <c r="R139" s="293"/>
      <c r="S139" s="2402"/>
      <c r="T139" s="2403" t="s">
        <v>456</v>
      </c>
      <c r="U139" s="2404"/>
      <c r="V139" s="2405"/>
      <c r="W139" s="2406"/>
      <c r="X139" s="2407"/>
      <c r="Y139" s="2408"/>
      <c r="Z139" s="2409"/>
      <c r="AA139" s="2410"/>
      <c r="AB139" s="2411"/>
      <c r="AC139" s="2412"/>
      <c r="AD139" s="2413"/>
      <c r="AE139" s="2414"/>
      <c r="AF139" s="2415"/>
      <c r="AG139" s="2416"/>
      <c r="AH139" s="2417"/>
      <c r="AI139" s="2418"/>
      <c r="AJ139" s="2419"/>
      <c r="AK139" s="2420"/>
      <c r="AL139" s="2421"/>
      <c r="AM139" s="2921"/>
      <c r="AN139" s="1569"/>
      <c r="AO139" s="1551"/>
      <c r="AP139" s="1551" t="str">
        <f t="shared" ref="AP139:AP163" si="4">IF(T139="","",T139)</f>
        <v>Добавить вид теплоносителя (параметры теплоносителя)</v>
      </c>
      <c r="AQ139" s="1551"/>
      <c r="AR139" s="1551"/>
      <c r="AS139" s="1562">
        <v>0</v>
      </c>
    </row>
    <row r="140" spans="1:45" s="1775" customFormat="1" ht="90.75" customHeight="1">
      <c r="A140" s="1290"/>
      <c r="B140" s="1290"/>
      <c r="C140" s="1290"/>
      <c r="D140" s="1290"/>
      <c r="E140" s="2897"/>
      <c r="F140" s="2897"/>
      <c r="G140" s="2897"/>
      <c r="H140" s="2897"/>
      <c r="I140" s="2899"/>
      <c r="J140" s="2898" t="str">
        <f>I131&amp;".3"</f>
        <v>7.1.1.1.1.3</v>
      </c>
      <c r="K140" s="1290"/>
      <c r="L140" s="1296" t="s">
        <v>451</v>
      </c>
      <c r="M140" s="1293"/>
      <c r="N140" s="1293"/>
      <c r="O140" s="1702"/>
      <c r="P140" s="2900"/>
      <c r="Q140" s="2922" t="s">
        <v>179</v>
      </c>
      <c r="R140" s="294"/>
      <c r="S140" s="2003" t="str">
        <f>$J140</f>
        <v>7.1.1.1.1.3</v>
      </c>
      <c r="T140" s="224" t="s">
        <v>452</v>
      </c>
      <c r="U140" s="238"/>
      <c r="V140" s="2884"/>
      <c r="W140" s="2885"/>
      <c r="X140" s="2885"/>
      <c r="Y140" s="2885"/>
      <c r="Z140" s="2885"/>
      <c r="AA140" s="2885"/>
      <c r="AB140" s="2885"/>
      <c r="AC140" s="2886"/>
      <c r="AD140" s="2884" t="s">
        <v>494</v>
      </c>
      <c r="AE140" s="2885"/>
      <c r="AF140" s="2885"/>
      <c r="AG140" s="2885"/>
      <c r="AH140" s="2885"/>
      <c r="AI140" s="2885"/>
      <c r="AJ140" s="2885"/>
      <c r="AK140" s="2885"/>
      <c r="AL140" s="2886"/>
      <c r="AM140" s="1185" t="s">
        <v>453</v>
      </c>
      <c r="AN140" s="1569"/>
      <c r="AO140" s="1551"/>
      <c r="AP140" s="1551" t="str">
        <f t="shared" si="4"/>
        <v>Группа потребителей</v>
      </c>
      <c r="AQ140" s="1551"/>
      <c r="AR140" s="1551"/>
      <c r="AS140" s="1562">
        <v>0</v>
      </c>
    </row>
    <row r="141" spans="1:45" s="1775" customFormat="1" ht="21" customHeight="1">
      <c r="A141" s="1290"/>
      <c r="B141" s="1290"/>
      <c r="C141" s="1290"/>
      <c r="D141" s="1290"/>
      <c r="E141" s="2897"/>
      <c r="F141" s="2897"/>
      <c r="G141" s="2897"/>
      <c r="H141" s="2897"/>
      <c r="I141" s="2899"/>
      <c r="J141" s="2899" t="str">
        <f>I131&amp;".2"</f>
        <v>7.1.1.1.1.2</v>
      </c>
      <c r="K141" s="2898" t="str">
        <f>J140&amp;".1"</f>
        <v>7.1.1.1.1.3.1</v>
      </c>
      <c r="L141" s="1296" t="s">
        <v>454</v>
      </c>
      <c r="M141" s="1293"/>
      <c r="N141" s="1293"/>
      <c r="O141" s="1293"/>
      <c r="P141" s="2900"/>
      <c r="Q141" s="2900"/>
      <c r="R141" s="294">
        <v>1</v>
      </c>
      <c r="S141" s="2003" t="str">
        <f>$K141</f>
        <v>7.1.1.1.1.3.1</v>
      </c>
      <c r="T141" s="1274" t="s">
        <v>493</v>
      </c>
      <c r="U141" s="238"/>
      <c r="V141" s="688"/>
      <c r="W141" s="263"/>
      <c r="X141" s="688"/>
      <c r="Y141" s="1184"/>
      <c r="Z141" s="2901"/>
      <c r="AA141" s="2768" t="s">
        <v>71</v>
      </c>
      <c r="AB141" s="2901"/>
      <c r="AC141" s="2768" t="s">
        <v>71</v>
      </c>
      <c r="AD141" s="688">
        <f>AD133</f>
        <v>4128.9799999999996</v>
      </c>
      <c r="AE141" s="263"/>
      <c r="AF141" s="688"/>
      <c r="AG141" s="1184"/>
      <c r="AH141" s="2901" t="s">
        <v>22</v>
      </c>
      <c r="AI141" s="2768" t="s">
        <v>71</v>
      </c>
      <c r="AJ141" s="2901" t="s">
        <v>26</v>
      </c>
      <c r="AK141" s="2768" t="s">
        <v>71</v>
      </c>
      <c r="AL141" s="263"/>
      <c r="AM141" s="2919" t="s">
        <v>455</v>
      </c>
      <c r="AN141" s="1569" t="e">
        <f ca="1">STRCHECKDATE(V142:AL142)</f>
        <v>#NAME?</v>
      </c>
      <c r="AO141" s="1551"/>
      <c r="AP141" s="1551" t="str">
        <f t="shared" si="4"/>
        <v>вода</v>
      </c>
      <c r="AQ141" s="1551"/>
      <c r="AR141" s="1551"/>
      <c r="AS141" s="1562">
        <v>0</v>
      </c>
    </row>
    <row r="142" spans="1:45" s="1775" customFormat="1" ht="0.75" customHeight="1">
      <c r="A142" s="1290"/>
      <c r="B142" s="1290"/>
      <c r="C142" s="1290"/>
      <c r="D142" s="1290"/>
      <c r="E142" s="2897"/>
      <c r="F142" s="2897"/>
      <c r="G142" s="2897"/>
      <c r="H142" s="2897"/>
      <c r="I142" s="2899"/>
      <c r="J142" s="2899" t="str">
        <f>I131&amp;".2"</f>
        <v>7.1.1.1.1.2</v>
      </c>
      <c r="K142" s="2898"/>
      <c r="L142" s="1296"/>
      <c r="M142" s="1293"/>
      <c r="N142" s="1293"/>
      <c r="O142" s="1293"/>
      <c r="P142" s="2900"/>
      <c r="Q142" s="2900"/>
      <c r="R142" s="294"/>
      <c r="S142" s="2010"/>
      <c r="T142" s="238"/>
      <c r="U142" s="238"/>
      <c r="V142" s="263"/>
      <c r="W142" s="263"/>
      <c r="X142" s="263"/>
      <c r="Y142" s="266" t="str">
        <f>Z141&amp;"-"&amp;AB141</f>
        <v>-</v>
      </c>
      <c r="Z142" s="2902"/>
      <c r="AA142" s="2768"/>
      <c r="AB142" s="2902"/>
      <c r="AC142" s="2768"/>
      <c r="AD142" s="263"/>
      <c r="AE142" s="263"/>
      <c r="AF142" s="263"/>
      <c r="AG142" s="266" t="str">
        <f>AH141&amp;"-"&amp;AJ141</f>
        <v>01.01.2025-31.12.2025</v>
      </c>
      <c r="AH142" s="2902"/>
      <c r="AI142" s="2768"/>
      <c r="AJ142" s="2902"/>
      <c r="AK142" s="2768"/>
      <c r="AL142" s="263"/>
      <c r="AM142" s="2920"/>
      <c r="AN142" s="1569"/>
      <c r="AO142" s="1551"/>
      <c r="AP142" s="1551" t="str">
        <f t="shared" si="4"/>
        <v/>
      </c>
      <c r="AQ142" s="1551"/>
      <c r="AR142" s="1551"/>
      <c r="AS142" s="1562">
        <v>0</v>
      </c>
    </row>
    <row r="143" spans="1:45" s="1775" customFormat="1" ht="186.75" customHeight="1">
      <c r="A143" s="1290"/>
      <c r="B143" s="1290"/>
      <c r="C143" s="1290"/>
      <c r="D143" s="1290"/>
      <c r="E143" s="2897"/>
      <c r="F143" s="2897"/>
      <c r="G143" s="2897"/>
      <c r="H143" s="2897"/>
      <c r="I143" s="2899"/>
      <c r="J143" s="2898" t="str">
        <f>I131&amp;".2"</f>
        <v>7.1.1.1.1.2</v>
      </c>
      <c r="K143" s="1290"/>
      <c r="L143" s="1296"/>
      <c r="M143" s="1293"/>
      <c r="N143" s="1293"/>
      <c r="O143" s="1702"/>
      <c r="P143" s="2900"/>
      <c r="Q143" s="2900"/>
      <c r="R143" s="293"/>
      <c r="S143" s="2422"/>
      <c r="T143" s="2423" t="s">
        <v>456</v>
      </c>
      <c r="U143" s="2424"/>
      <c r="V143" s="2425"/>
      <c r="W143" s="2426"/>
      <c r="X143" s="2427"/>
      <c r="Y143" s="2428"/>
      <c r="Z143" s="2429"/>
      <c r="AA143" s="2430"/>
      <c r="AB143" s="2431"/>
      <c r="AC143" s="2432"/>
      <c r="AD143" s="2433"/>
      <c r="AE143" s="2434"/>
      <c r="AF143" s="2435"/>
      <c r="AG143" s="2436"/>
      <c r="AH143" s="2437"/>
      <c r="AI143" s="2438"/>
      <c r="AJ143" s="2439"/>
      <c r="AK143" s="2440"/>
      <c r="AL143" s="2441"/>
      <c r="AM143" s="2921"/>
      <c r="AN143" s="1569"/>
      <c r="AO143" s="1551"/>
      <c r="AP143" s="1551" t="str">
        <f t="shared" si="4"/>
        <v>Добавить вид теплоносителя (параметры теплоносителя)</v>
      </c>
      <c r="AQ143" s="1551"/>
      <c r="AR143" s="1551"/>
      <c r="AS143" s="1562">
        <v>0</v>
      </c>
    </row>
    <row r="144" spans="1:45" s="1775" customFormat="1" ht="15" customHeight="1">
      <c r="A144" s="1290"/>
      <c r="B144" s="1290"/>
      <c r="C144" s="1290"/>
      <c r="D144" s="1290"/>
      <c r="E144" s="2897" t="s">
        <v>97</v>
      </c>
      <c r="F144" s="2897"/>
      <c r="G144" s="2897"/>
      <c r="H144" s="2897"/>
      <c r="I144" s="2898"/>
      <c r="J144" s="1290"/>
      <c r="K144" s="1290"/>
      <c r="L144" s="1296"/>
      <c r="M144" s="1293"/>
      <c r="N144" s="1702"/>
      <c r="O144" s="1702"/>
      <c r="P144" s="2900"/>
      <c r="Q144" s="2006"/>
      <c r="R144" s="293"/>
      <c r="S144" s="2442"/>
      <c r="T144" s="2443" t="s">
        <v>457</v>
      </c>
      <c r="U144" s="2444"/>
      <c r="V144" s="2445"/>
      <c r="W144" s="2446"/>
      <c r="X144" s="2447"/>
      <c r="Y144" s="2448"/>
      <c r="Z144" s="2449"/>
      <c r="AA144" s="2450"/>
      <c r="AB144" s="2451"/>
      <c r="AC144" s="2452"/>
      <c r="AD144" s="2453"/>
      <c r="AE144" s="2454"/>
      <c r="AF144" s="2455"/>
      <c r="AG144" s="2456"/>
      <c r="AH144" s="2457"/>
      <c r="AI144" s="2458"/>
      <c r="AJ144" s="2459"/>
      <c r="AK144" s="2460"/>
      <c r="AL144" s="2461"/>
      <c r="AM144" s="2462"/>
      <c r="AN144" s="1569"/>
      <c r="AO144" s="1551"/>
      <c r="AP144" s="1551" t="str">
        <f t="shared" si="4"/>
        <v>Добавить группу потребителей</v>
      </c>
      <c r="AQ144" s="1551"/>
      <c r="AR144" s="1551"/>
      <c r="AS144" s="1562">
        <v>0</v>
      </c>
    </row>
    <row r="145" spans="1:45" s="1775" customFormat="1" ht="14.25" customHeight="1">
      <c r="A145" s="1290"/>
      <c r="B145" s="1290"/>
      <c r="C145" s="1290"/>
      <c r="D145" s="1290"/>
      <c r="E145" s="2897" t="s">
        <v>97</v>
      </c>
      <c r="F145" s="2897"/>
      <c r="G145" s="2897"/>
      <c r="H145" s="2896"/>
      <c r="I145" s="1290"/>
      <c r="J145" s="1290"/>
      <c r="K145" s="1290"/>
      <c r="L145" s="1296"/>
      <c r="M145" s="1292"/>
      <c r="N145" s="1292"/>
      <c r="O145" s="1293"/>
      <c r="P145" s="1748"/>
      <c r="Q145" s="312"/>
      <c r="R145" s="292"/>
      <c r="S145" s="2463"/>
      <c r="T145" s="2464" t="s">
        <v>458</v>
      </c>
      <c r="U145" s="2465"/>
      <c r="V145" s="2466"/>
      <c r="W145" s="2467"/>
      <c r="X145" s="2468"/>
      <c r="Y145" s="2469"/>
      <c r="Z145" s="2470"/>
      <c r="AA145" s="2471"/>
      <c r="AB145" s="2472"/>
      <c r="AC145" s="2473"/>
      <c r="AD145" s="2474"/>
      <c r="AE145" s="2475"/>
      <c r="AF145" s="2476"/>
      <c r="AG145" s="2477"/>
      <c r="AH145" s="2478"/>
      <c r="AI145" s="2479"/>
      <c r="AJ145" s="2480"/>
      <c r="AK145" s="2481"/>
      <c r="AL145" s="2482"/>
      <c r="AM145" s="2483"/>
      <c r="AN145" s="1569"/>
      <c r="AO145" s="1551"/>
      <c r="AP145" s="1551" t="str">
        <f t="shared" si="4"/>
        <v>Добавить схему подключения</v>
      </c>
      <c r="AQ145" s="1551"/>
      <c r="AR145" s="1551"/>
      <c r="AS145" s="1562">
        <v>0</v>
      </c>
    </row>
    <row r="146" spans="1:45" s="559" customFormat="1" ht="0.75" customHeight="1">
      <c r="A146" s="1270"/>
      <c r="B146" s="1270"/>
      <c r="C146" s="1270"/>
      <c r="D146" s="1270"/>
      <c r="E146" s="2897" t="s">
        <v>97</v>
      </c>
      <c r="F146" s="2897"/>
      <c r="G146" s="2896"/>
      <c r="H146" s="1270"/>
      <c r="I146" s="1270"/>
      <c r="J146" s="1270"/>
      <c r="K146" s="1270"/>
      <c r="L146" s="1472"/>
      <c r="M146" s="1242"/>
      <c r="N146" s="1242"/>
      <c r="O146" s="1569"/>
      <c r="P146" s="1243"/>
      <c r="Q146" s="1271"/>
      <c r="R146" s="1243"/>
      <c r="S146" s="1245"/>
      <c r="T146" s="1246" t="s">
        <v>174</v>
      </c>
      <c r="U146" s="1247"/>
      <c r="V146" s="1247"/>
      <c r="W146" s="1247"/>
      <c r="X146" s="1247"/>
      <c r="Y146" s="1247"/>
      <c r="Z146" s="1247"/>
      <c r="AA146" s="1247"/>
      <c r="AB146" s="1247"/>
      <c r="AC146" s="1247"/>
      <c r="AD146" s="1247"/>
      <c r="AE146" s="1247"/>
      <c r="AF146" s="1247"/>
      <c r="AG146" s="1247"/>
      <c r="AH146" s="1247"/>
      <c r="AI146" s="1247"/>
      <c r="AJ146" s="1247"/>
      <c r="AK146" s="1247"/>
      <c r="AL146" s="1247"/>
      <c r="AM146" s="1247"/>
      <c r="AN146" s="1569"/>
      <c r="AO146" s="1551"/>
      <c r="AP146" s="1551" t="str">
        <f t="shared" si="4"/>
        <v>Добавить источник для дифференциации</v>
      </c>
      <c r="AQ146" s="1551"/>
      <c r="AR146" s="1551"/>
      <c r="AS146" s="1569">
        <v>0</v>
      </c>
    </row>
    <row r="147" spans="1:45" s="559" customFormat="1" ht="0.75" customHeight="1">
      <c r="A147" s="1270"/>
      <c r="B147" s="1270"/>
      <c r="C147" s="1270"/>
      <c r="D147" s="1270"/>
      <c r="E147" s="2897" t="s">
        <v>97</v>
      </c>
      <c r="F147" s="2896"/>
      <c r="G147" s="1270"/>
      <c r="H147" s="1270"/>
      <c r="I147" s="1270"/>
      <c r="J147" s="1270"/>
      <c r="K147" s="1270"/>
      <c r="L147" s="1472"/>
      <c r="M147" s="1248"/>
      <c r="N147" s="1248"/>
      <c r="O147" s="1569"/>
      <c r="P147" s="1243"/>
      <c r="Q147" s="1271"/>
      <c r="R147" s="1243"/>
      <c r="S147" s="1249"/>
      <c r="T147" s="1250" t="s">
        <v>176</v>
      </c>
      <c r="U147" s="1251"/>
      <c r="V147" s="1251"/>
      <c r="W147" s="1251"/>
      <c r="X147" s="1251"/>
      <c r="Y147" s="1251"/>
      <c r="Z147" s="1251"/>
      <c r="AA147" s="1251"/>
      <c r="AB147" s="1251"/>
      <c r="AC147" s="1251"/>
      <c r="AD147" s="1251"/>
      <c r="AE147" s="1251"/>
      <c r="AF147" s="1251"/>
      <c r="AG147" s="1251"/>
      <c r="AH147" s="1251"/>
      <c r="AI147" s="1251"/>
      <c r="AJ147" s="1251"/>
      <c r="AK147" s="1251"/>
      <c r="AL147" s="1251"/>
      <c r="AM147" s="1251"/>
      <c r="AN147" s="1569"/>
      <c r="AO147" s="1551"/>
      <c r="AP147" s="1551" t="str">
        <f t="shared" si="4"/>
        <v>Добавить централизованную систему для дифференциации</v>
      </c>
      <c r="AQ147" s="1551"/>
      <c r="AR147" s="1551"/>
      <c r="AS147" s="1569">
        <v>0</v>
      </c>
    </row>
    <row r="148" spans="1:45" s="559" customFormat="1" ht="0.75" customHeight="1">
      <c r="A148" s="1270"/>
      <c r="B148" s="1270"/>
      <c r="C148" s="1270"/>
      <c r="D148" s="1270"/>
      <c r="E148" s="2896" t="s">
        <v>97</v>
      </c>
      <c r="F148" s="1270"/>
      <c r="G148" s="1270"/>
      <c r="H148" s="1270"/>
      <c r="I148" s="1270"/>
      <c r="J148" s="1270"/>
      <c r="K148" s="1270"/>
      <c r="L148" s="1472"/>
      <c r="M148" s="1248"/>
      <c r="N148" s="1248"/>
      <c r="O148" s="1569"/>
      <c r="P148" s="1243"/>
      <c r="Q148" s="1271"/>
      <c r="R148" s="1243"/>
      <c r="S148" s="1249"/>
      <c r="T148" s="1252" t="s">
        <v>178</v>
      </c>
      <c r="U148" s="1251"/>
      <c r="V148" s="1251"/>
      <c r="W148" s="1251"/>
      <c r="X148" s="1251"/>
      <c r="Y148" s="1251"/>
      <c r="Z148" s="1251"/>
      <c r="AA148" s="1251"/>
      <c r="AB148" s="1251"/>
      <c r="AC148" s="1251"/>
      <c r="AD148" s="1251"/>
      <c r="AE148" s="1251"/>
      <c r="AF148" s="1251"/>
      <c r="AG148" s="1251"/>
      <c r="AH148" s="1251"/>
      <c r="AI148" s="1251"/>
      <c r="AJ148" s="1251"/>
      <c r="AK148" s="1251"/>
      <c r="AL148" s="1251"/>
      <c r="AM148" s="1251"/>
      <c r="AN148" s="1569"/>
      <c r="AO148" s="1551"/>
      <c r="AP148" s="1551" t="str">
        <f t="shared" si="4"/>
        <v>Добавить территорию для дифференциации</v>
      </c>
      <c r="AQ148" s="1551"/>
      <c r="AR148" s="1551"/>
      <c r="AS148" s="1569">
        <v>0</v>
      </c>
    </row>
    <row r="149" spans="1:45" s="1775" customFormat="1" ht="21" customHeight="1">
      <c r="A149" s="1290" t="s">
        <v>208</v>
      </c>
      <c r="B149" s="1290"/>
      <c r="C149" s="1290"/>
      <c r="D149" s="1290"/>
      <c r="E149" s="2896" t="s">
        <v>117</v>
      </c>
      <c r="F149" s="1290"/>
      <c r="G149" s="1290"/>
      <c r="H149" s="1290"/>
      <c r="I149" s="1290"/>
      <c r="J149" s="1290"/>
      <c r="K149" s="1290"/>
      <c r="L149" s="1296"/>
      <c r="M149" s="1292"/>
      <c r="N149" s="1292"/>
      <c r="O149" s="1292"/>
      <c r="P149" s="2007"/>
      <c r="Q149" s="1748"/>
      <c r="R149" s="292"/>
      <c r="S149" s="2003" t="str">
        <f>INDEX(PT_DIFFERENTIATION_NUM_NTAR,MATCH(A149,PT_DIFFERENTIATION_NTAR_ID,0))</f>
        <v>8</v>
      </c>
      <c r="T149" s="1452" t="s">
        <v>128</v>
      </c>
      <c r="U149" s="238"/>
      <c r="V149" s="2890"/>
      <c r="W149" s="2891"/>
      <c r="X149" s="2891"/>
      <c r="Y149" s="2891"/>
      <c r="Z149" s="2891"/>
      <c r="AA149" s="2891"/>
      <c r="AB149" s="2891"/>
      <c r="AC149" s="2892"/>
      <c r="AD149" s="2890" t="str">
        <f>INDEX(PT_DIFFERENTIATION_NTAR,MATCH(A149,PT_DIFFERENTIATION_NTAR_ID,0))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AE149" s="2891"/>
      <c r="AF149" s="2891"/>
      <c r="AG149" s="2891"/>
      <c r="AH149" s="2891"/>
      <c r="AI149" s="2891"/>
      <c r="AJ149" s="2891"/>
      <c r="AK149" s="2891"/>
      <c r="AL149" s="2892"/>
      <c r="AM149" s="1185" t="s">
        <v>441</v>
      </c>
      <c r="AN149" s="1569"/>
      <c r="AO149" s="1551"/>
      <c r="AP149" s="1551" t="str">
        <f t="shared" si="4"/>
        <v>Наименование тарифа</v>
      </c>
      <c r="AQ149" s="1551"/>
      <c r="AR149" s="1551"/>
      <c r="AS149" s="1562">
        <v>0</v>
      </c>
    </row>
    <row r="150" spans="1:45" s="1775" customFormat="1" ht="21" customHeight="1">
      <c r="A150" s="1290"/>
      <c r="B150" s="1290" t="s">
        <v>209</v>
      </c>
      <c r="C150" s="1290"/>
      <c r="D150" s="1290"/>
      <c r="E150" s="2897" t="s">
        <v>98</v>
      </c>
      <c r="F150" s="2896">
        <v>1</v>
      </c>
      <c r="G150" s="1290"/>
      <c r="H150" s="1290"/>
      <c r="I150" s="1290"/>
      <c r="J150" s="1290"/>
      <c r="K150" s="1290"/>
      <c r="L150" s="1296"/>
      <c r="M150" s="1292"/>
      <c r="N150" s="1292"/>
      <c r="O150" s="1292"/>
      <c r="P150" s="2000"/>
      <c r="Q150" s="289"/>
      <c r="R150" s="290"/>
      <c r="S150" s="2003" t="str">
        <f>INDEX(PT_DIFFERENTIATION_NUM_TER,MATCH(B150,PT_DIFFERENTIATION_TER_ID,0))</f>
        <v>8.1</v>
      </c>
      <c r="T150" s="1449" t="s">
        <v>442</v>
      </c>
      <c r="U150" s="238"/>
      <c r="V150" s="2890"/>
      <c r="W150" s="2891"/>
      <c r="X150" s="2891"/>
      <c r="Y150" s="2891"/>
      <c r="Z150" s="2891"/>
      <c r="AA150" s="2891"/>
      <c r="AB150" s="2891"/>
      <c r="AC150" s="2892"/>
      <c r="AD150" s="2890" t="str">
        <f>INDEX(PT_DIFFERENTIATION_TER,MATCH(B150,PT_DIFFERENTIATION_TER_ID,0))</f>
        <v>без дифференциации</v>
      </c>
      <c r="AE150" s="2891"/>
      <c r="AF150" s="2891"/>
      <c r="AG150" s="2891"/>
      <c r="AH150" s="2891"/>
      <c r="AI150" s="2891"/>
      <c r="AJ150" s="2891"/>
      <c r="AK150" s="2891"/>
      <c r="AL150" s="2892"/>
      <c r="AM150" s="1185" t="s">
        <v>443</v>
      </c>
      <c r="AN150" s="1569"/>
      <c r="AO150" s="1551"/>
      <c r="AP150" s="1551" t="str">
        <f t="shared" si="4"/>
        <v>Территория действия тарифа</v>
      </c>
      <c r="AQ150" s="1551"/>
      <c r="AR150" s="1551"/>
      <c r="AS150" s="1562">
        <v>0</v>
      </c>
    </row>
    <row r="151" spans="1:45" s="1775" customFormat="1" ht="23.25" customHeight="1">
      <c r="A151" s="1290"/>
      <c r="B151" s="1290"/>
      <c r="C151" s="1290" t="s">
        <v>210</v>
      </c>
      <c r="D151" s="1290"/>
      <c r="E151" s="2897" t="s">
        <v>98</v>
      </c>
      <c r="F151" s="2897"/>
      <c r="G151" s="2896">
        <v>1</v>
      </c>
      <c r="H151" s="1290"/>
      <c r="I151" s="1290"/>
      <c r="J151" s="1290"/>
      <c r="K151" s="1290"/>
      <c r="L151" s="1296"/>
      <c r="M151" s="1292"/>
      <c r="N151" s="1292"/>
      <c r="O151" s="1292"/>
      <c r="P151" s="291"/>
      <c r="Q151" s="289"/>
      <c r="R151" s="290"/>
      <c r="S151" s="2003" t="str">
        <f>INDEX(PT_DIFFERENTIATION_NUM_CS,MATCH(C151,PT_DIFFERENTIATION_CS_ID,0))</f>
        <v>8.1.1</v>
      </c>
      <c r="T151" s="247" t="s">
        <v>444</v>
      </c>
      <c r="U151" s="238"/>
      <c r="V151" s="2890"/>
      <c r="W151" s="2891"/>
      <c r="X151" s="2891"/>
      <c r="Y151" s="2891"/>
      <c r="Z151" s="2891"/>
      <c r="AA151" s="2891"/>
      <c r="AB151" s="2891"/>
      <c r="AC151" s="2892"/>
      <c r="AD151" s="2890" t="str">
        <f>INDEX(PT_DIFFERENTIATION_CS,MATCH(C151,PT_DIFFERENTIATION_CS_ID,0))</f>
        <v>без дифференциации</v>
      </c>
      <c r="AE151" s="2891"/>
      <c r="AF151" s="2891"/>
      <c r="AG151" s="2891"/>
      <c r="AH151" s="2891"/>
      <c r="AI151" s="2891"/>
      <c r="AJ151" s="2891"/>
      <c r="AK151" s="2891"/>
      <c r="AL151" s="2892"/>
      <c r="AM151" s="1185" t="s">
        <v>445</v>
      </c>
      <c r="AN151" s="1569"/>
      <c r="AO151" s="1551"/>
      <c r="AP151" s="1551" t="str">
        <f t="shared" si="4"/>
        <v xml:space="preserve">Наименование системы теплоснабжения </v>
      </c>
      <c r="AQ151" s="1551"/>
      <c r="AR151" s="1551"/>
      <c r="AS151" s="1562">
        <v>0</v>
      </c>
    </row>
    <row r="152" spans="1:45" s="1775" customFormat="1" ht="21" customHeight="1">
      <c r="A152" s="1290"/>
      <c r="B152" s="1290"/>
      <c r="C152" s="1290"/>
      <c r="D152" s="1290" t="s">
        <v>211</v>
      </c>
      <c r="E152" s="2897" t="s">
        <v>98</v>
      </c>
      <c r="F152" s="2897"/>
      <c r="G152" s="2897"/>
      <c r="H152" s="2896">
        <v>1</v>
      </c>
      <c r="I152" s="1290"/>
      <c r="J152" s="1290"/>
      <c r="K152" s="1290"/>
      <c r="L152" s="1296"/>
      <c r="M152" s="1292"/>
      <c r="N152" s="1292"/>
      <c r="O152" s="1292"/>
      <c r="P152" s="291"/>
      <c r="Q152" s="289"/>
      <c r="R152" s="290"/>
      <c r="S152" s="2003" t="str">
        <f>INDEX(PT_DIFFERENTIATION_NUM_IST_TE,MATCH(D152,PT_DIFFERENTIATION_IST_TE_ID,0))</f>
        <v>8.1.1.1</v>
      </c>
      <c r="T152" s="248" t="s">
        <v>446</v>
      </c>
      <c r="U152" s="238"/>
      <c r="V152" s="2890"/>
      <c r="W152" s="2891"/>
      <c r="X152" s="2891"/>
      <c r="Y152" s="2891"/>
      <c r="Z152" s="2891"/>
      <c r="AA152" s="2891"/>
      <c r="AB152" s="2891"/>
      <c r="AC152" s="2892"/>
      <c r="AD152" s="2890" t="str">
        <f>INDEX(PT_DIFFERENTIATION_IST_TE,MATCH(D152,PT_DIFFERENTIATION_IST_TE_ID,0))</f>
        <v>без дифференциации</v>
      </c>
      <c r="AE152" s="2891"/>
      <c r="AF152" s="2891"/>
      <c r="AG152" s="2891"/>
      <c r="AH152" s="2891"/>
      <c r="AI152" s="2891"/>
      <c r="AJ152" s="2891"/>
      <c r="AK152" s="2891"/>
      <c r="AL152" s="2892"/>
      <c r="AM152" s="1185" t="s">
        <v>447</v>
      </c>
      <c r="AN152" s="1569"/>
      <c r="AO152" s="1551"/>
      <c r="AP152" s="1551" t="str">
        <f t="shared" si="4"/>
        <v xml:space="preserve">Источник тепловой энергии  </v>
      </c>
      <c r="AQ152" s="1551"/>
      <c r="AR152" s="1551"/>
      <c r="AS152" s="1562">
        <v>0</v>
      </c>
    </row>
    <row r="153" spans="1:45" s="1775" customFormat="1" ht="96.75" customHeight="1">
      <c r="A153" s="1290"/>
      <c r="B153" s="1290"/>
      <c r="C153" s="1290"/>
      <c r="D153" s="1290"/>
      <c r="E153" s="2897" t="s">
        <v>98</v>
      </c>
      <c r="F153" s="2897"/>
      <c r="G153" s="2897"/>
      <c r="H153" s="2897"/>
      <c r="I153" s="2898" t="str">
        <f>S152&amp;".1"</f>
        <v>8.1.1.1.1</v>
      </c>
      <c r="J153" s="1290"/>
      <c r="K153" s="1290"/>
      <c r="L153" s="1296" t="s">
        <v>448</v>
      </c>
      <c r="M153" s="1293"/>
      <c r="N153" s="1702"/>
      <c r="O153" s="1702"/>
      <c r="P153" s="2900">
        <v>1</v>
      </c>
      <c r="Q153" s="2006"/>
      <c r="R153" s="293"/>
      <c r="S153" s="2003" t="str">
        <f>$I153</f>
        <v>8.1.1.1.1</v>
      </c>
      <c r="T153" s="223" t="s">
        <v>449</v>
      </c>
      <c r="U153" s="238"/>
      <c r="V153" s="2884"/>
      <c r="W153" s="2885"/>
      <c r="X153" s="2885"/>
      <c r="Y153" s="2885"/>
      <c r="Z153" s="2885"/>
      <c r="AA153" s="2885"/>
      <c r="AB153" s="2885"/>
      <c r="AC153" s="2886"/>
      <c r="AD153" s="2884" t="s">
        <v>491</v>
      </c>
      <c r="AE153" s="2885"/>
      <c r="AF153" s="2885"/>
      <c r="AG153" s="2885"/>
      <c r="AH153" s="2885"/>
      <c r="AI153" s="2885"/>
      <c r="AJ153" s="2885"/>
      <c r="AK153" s="2885"/>
      <c r="AL153" s="2886"/>
      <c r="AM153" s="1185" t="s">
        <v>450</v>
      </c>
      <c r="AN153" s="1569"/>
      <c r="AO153" s="1551"/>
      <c r="AP153" s="1551" t="str">
        <f t="shared" si="4"/>
        <v>Схема подключения теплопотребляющей установки к коллектору источника тепловой энергии</v>
      </c>
      <c r="AQ153" s="1551"/>
      <c r="AR153" s="1551"/>
      <c r="AS153" s="1562">
        <v>0</v>
      </c>
    </row>
    <row r="154" spans="1:45" s="1775" customFormat="1" ht="90" customHeight="1">
      <c r="A154" s="1290"/>
      <c r="B154" s="1290"/>
      <c r="C154" s="1290"/>
      <c r="D154" s="1290"/>
      <c r="E154" s="2897" t="s">
        <v>98</v>
      </c>
      <c r="F154" s="2897"/>
      <c r="G154" s="2897"/>
      <c r="H154" s="2897"/>
      <c r="I154" s="2899"/>
      <c r="J154" s="2898" t="str">
        <f>I153&amp;".1"</f>
        <v>8.1.1.1.1.1</v>
      </c>
      <c r="K154" s="1290"/>
      <c r="L154" s="1296" t="s">
        <v>451</v>
      </c>
      <c r="M154" s="1293"/>
      <c r="N154" s="1293"/>
      <c r="O154" s="1702"/>
      <c r="P154" s="2900"/>
      <c r="Q154" s="2900">
        <v>1</v>
      </c>
      <c r="R154" s="294"/>
      <c r="S154" s="2003" t="str">
        <f>$J154</f>
        <v>8.1.1.1.1.1</v>
      </c>
      <c r="T154" s="224" t="s">
        <v>452</v>
      </c>
      <c r="U154" s="238"/>
      <c r="V154" s="2884"/>
      <c r="W154" s="2885"/>
      <c r="X154" s="2885"/>
      <c r="Y154" s="2885"/>
      <c r="Z154" s="2885"/>
      <c r="AA154" s="2885"/>
      <c r="AB154" s="2885"/>
      <c r="AC154" s="2886"/>
      <c r="AD154" s="2884" t="s">
        <v>492</v>
      </c>
      <c r="AE154" s="2885"/>
      <c r="AF154" s="2885"/>
      <c r="AG154" s="2885"/>
      <c r="AH154" s="2885"/>
      <c r="AI154" s="2885"/>
      <c r="AJ154" s="2885"/>
      <c r="AK154" s="2885"/>
      <c r="AL154" s="2886"/>
      <c r="AM154" s="1185" t="s">
        <v>453</v>
      </c>
      <c r="AN154" s="1569"/>
      <c r="AO154" s="1551"/>
      <c r="AP154" s="1551" t="str">
        <f t="shared" si="4"/>
        <v>Группа потребителей</v>
      </c>
      <c r="AQ154" s="1551"/>
      <c r="AR154" s="1551"/>
      <c r="AS154" s="1562">
        <v>0</v>
      </c>
    </row>
    <row r="155" spans="1:45" s="1775" customFormat="1" ht="21" customHeight="1">
      <c r="A155" s="1290"/>
      <c r="B155" s="1290"/>
      <c r="C155" s="1290"/>
      <c r="D155" s="1290"/>
      <c r="E155" s="2897" t="s">
        <v>98</v>
      </c>
      <c r="F155" s="2897"/>
      <c r="G155" s="2897"/>
      <c r="H155" s="2897"/>
      <c r="I155" s="2899"/>
      <c r="J155" s="2899"/>
      <c r="K155" s="2898" t="str">
        <f>J154&amp;".1"</f>
        <v>8.1.1.1.1.1.1</v>
      </c>
      <c r="L155" s="1296" t="s">
        <v>454</v>
      </c>
      <c r="M155" s="1293"/>
      <c r="N155" s="1293"/>
      <c r="O155" s="1293"/>
      <c r="P155" s="2900"/>
      <c r="Q155" s="2900"/>
      <c r="R155" s="294">
        <v>1</v>
      </c>
      <c r="S155" s="2003" t="str">
        <f>$K155</f>
        <v>8.1.1.1.1.1.1</v>
      </c>
      <c r="T155" s="1274" t="s">
        <v>493</v>
      </c>
      <c r="U155" s="238"/>
      <c r="V155" s="688"/>
      <c r="W155" s="263"/>
      <c r="X155" s="688"/>
      <c r="Y155" s="1184"/>
      <c r="Z155" s="2901"/>
      <c r="AA155" s="2768" t="s">
        <v>71</v>
      </c>
      <c r="AB155" s="2901"/>
      <c r="AC155" s="2768" t="s">
        <v>71</v>
      </c>
      <c r="AD155" s="688">
        <v>376702.52</v>
      </c>
      <c r="AE155" s="263"/>
      <c r="AF155" s="688"/>
      <c r="AG155" s="1184"/>
      <c r="AH155" s="2901" t="s">
        <v>22</v>
      </c>
      <c r="AI155" s="2768" t="s">
        <v>71</v>
      </c>
      <c r="AJ155" s="2901" t="s">
        <v>26</v>
      </c>
      <c r="AK155" s="2768" t="s">
        <v>71</v>
      </c>
      <c r="AL155" s="263"/>
      <c r="AM155" s="2919" t="s">
        <v>455</v>
      </c>
      <c r="AN155" s="1569" t="e">
        <f ca="1">STRCHECKDATE(V156:AL156)</f>
        <v>#NAME?</v>
      </c>
      <c r="AO155" s="1551"/>
      <c r="AP155" s="1551" t="str">
        <f t="shared" si="4"/>
        <v>вода</v>
      </c>
      <c r="AQ155" s="1551"/>
      <c r="AR155" s="1551"/>
      <c r="AS155" s="1562">
        <v>0</v>
      </c>
    </row>
    <row r="156" spans="1:45" s="1775" customFormat="1" ht="0.75" customHeight="1">
      <c r="A156" s="1290"/>
      <c r="B156" s="1290"/>
      <c r="C156" s="1290"/>
      <c r="D156" s="1290"/>
      <c r="E156" s="2897" t="s">
        <v>98</v>
      </c>
      <c r="F156" s="2897"/>
      <c r="G156" s="2897"/>
      <c r="H156" s="2897"/>
      <c r="I156" s="2899"/>
      <c r="J156" s="2899"/>
      <c r="K156" s="2898"/>
      <c r="L156" s="1296"/>
      <c r="M156" s="1293"/>
      <c r="N156" s="1293"/>
      <c r="O156" s="1293"/>
      <c r="P156" s="2900"/>
      <c r="Q156" s="2900"/>
      <c r="R156" s="294"/>
      <c r="S156" s="2010"/>
      <c r="T156" s="238"/>
      <c r="U156" s="238"/>
      <c r="V156" s="263"/>
      <c r="W156" s="263"/>
      <c r="X156" s="263"/>
      <c r="Y156" s="266" t="str">
        <f>Z155&amp;"-"&amp;AB155</f>
        <v>-</v>
      </c>
      <c r="Z156" s="2902"/>
      <c r="AA156" s="2768"/>
      <c r="AB156" s="2902"/>
      <c r="AC156" s="2768"/>
      <c r="AD156" s="263"/>
      <c r="AE156" s="263"/>
      <c r="AF156" s="263"/>
      <c r="AG156" s="266" t="str">
        <f>AH155&amp;"-"&amp;AJ155</f>
        <v>01.01.2025-31.12.2025</v>
      </c>
      <c r="AH156" s="2902"/>
      <c r="AI156" s="2768"/>
      <c r="AJ156" s="2902"/>
      <c r="AK156" s="2768"/>
      <c r="AL156" s="263"/>
      <c r="AM156" s="2920"/>
      <c r="AN156" s="1569"/>
      <c r="AO156" s="1551"/>
      <c r="AP156" s="1551" t="str">
        <f t="shared" si="4"/>
        <v/>
      </c>
      <c r="AQ156" s="1551"/>
      <c r="AR156" s="1551"/>
      <c r="AS156" s="1562">
        <v>0</v>
      </c>
    </row>
    <row r="157" spans="1:45" s="1775" customFormat="1" ht="187.5" customHeight="1">
      <c r="A157" s="1290"/>
      <c r="B157" s="1290"/>
      <c r="C157" s="1290"/>
      <c r="D157" s="1290"/>
      <c r="E157" s="2897" t="s">
        <v>98</v>
      </c>
      <c r="F157" s="2897"/>
      <c r="G157" s="2897"/>
      <c r="H157" s="2897"/>
      <c r="I157" s="2899"/>
      <c r="J157" s="2898"/>
      <c r="K157" s="1290"/>
      <c r="L157" s="1296"/>
      <c r="M157" s="1293"/>
      <c r="N157" s="1293"/>
      <c r="O157" s="1702"/>
      <c r="P157" s="2900"/>
      <c r="Q157" s="2900"/>
      <c r="R157" s="293"/>
      <c r="S157" s="2484"/>
      <c r="T157" s="2485" t="s">
        <v>456</v>
      </c>
      <c r="U157" s="2486"/>
      <c r="V157" s="2487"/>
      <c r="W157" s="2488"/>
      <c r="X157" s="2489"/>
      <c r="Y157" s="2490"/>
      <c r="Z157" s="2491"/>
      <c r="AA157" s="2492"/>
      <c r="AB157" s="2493"/>
      <c r="AC157" s="2494"/>
      <c r="AD157" s="2495"/>
      <c r="AE157" s="2496"/>
      <c r="AF157" s="2497"/>
      <c r="AG157" s="2498"/>
      <c r="AH157" s="2499"/>
      <c r="AI157" s="2500"/>
      <c r="AJ157" s="2501"/>
      <c r="AK157" s="2502"/>
      <c r="AL157" s="2503"/>
      <c r="AM157" s="2921"/>
      <c r="AN157" s="1569"/>
      <c r="AO157" s="1551"/>
      <c r="AP157" s="1551" t="str">
        <f t="shared" si="4"/>
        <v>Добавить вид теплоносителя (параметры теплоносителя)</v>
      </c>
      <c r="AQ157" s="1551"/>
      <c r="AR157" s="1551"/>
      <c r="AS157" s="1562">
        <v>0</v>
      </c>
    </row>
    <row r="158" spans="1:45" s="1775" customFormat="1" ht="15" customHeight="1">
      <c r="A158" s="1290"/>
      <c r="B158" s="1290"/>
      <c r="C158" s="1290"/>
      <c r="D158" s="1290"/>
      <c r="E158" s="2897" t="s">
        <v>98</v>
      </c>
      <c r="F158" s="2897"/>
      <c r="G158" s="2897"/>
      <c r="H158" s="2897"/>
      <c r="I158" s="2898"/>
      <c r="J158" s="1290"/>
      <c r="K158" s="1290"/>
      <c r="L158" s="1296"/>
      <c r="M158" s="1293"/>
      <c r="N158" s="1702"/>
      <c r="O158" s="1702"/>
      <c r="P158" s="2900"/>
      <c r="Q158" s="2006"/>
      <c r="R158" s="293"/>
      <c r="S158" s="2504"/>
      <c r="T158" s="2505" t="s">
        <v>457</v>
      </c>
      <c r="U158" s="2506"/>
      <c r="V158" s="2507"/>
      <c r="W158" s="2508"/>
      <c r="X158" s="2509"/>
      <c r="Y158" s="2510"/>
      <c r="Z158" s="2511"/>
      <c r="AA158" s="2512"/>
      <c r="AB158" s="2513"/>
      <c r="AC158" s="2514"/>
      <c r="AD158" s="2515"/>
      <c r="AE158" s="2516"/>
      <c r="AF158" s="2517"/>
      <c r="AG158" s="2518"/>
      <c r="AH158" s="2519"/>
      <c r="AI158" s="2520"/>
      <c r="AJ158" s="2521"/>
      <c r="AK158" s="2522"/>
      <c r="AL158" s="2523"/>
      <c r="AM158" s="2524"/>
      <c r="AN158" s="1569"/>
      <c r="AO158" s="1551"/>
      <c r="AP158" s="1551" t="str">
        <f t="shared" si="4"/>
        <v>Добавить группу потребителей</v>
      </c>
      <c r="AQ158" s="1551"/>
      <c r="AR158" s="1551"/>
      <c r="AS158" s="1562">
        <v>0</v>
      </c>
    </row>
    <row r="159" spans="1:45" s="1775" customFormat="1" ht="14.25" customHeight="1">
      <c r="A159" s="1290"/>
      <c r="B159" s="1290"/>
      <c r="C159" s="1290"/>
      <c r="D159" s="1290"/>
      <c r="E159" s="2897" t="s">
        <v>98</v>
      </c>
      <c r="F159" s="2897"/>
      <c r="G159" s="2897"/>
      <c r="H159" s="2896"/>
      <c r="I159" s="1290"/>
      <c r="J159" s="1290"/>
      <c r="K159" s="1290"/>
      <c r="L159" s="1296"/>
      <c r="M159" s="1292"/>
      <c r="N159" s="1292"/>
      <c r="O159" s="1293"/>
      <c r="P159" s="1748"/>
      <c r="Q159" s="312"/>
      <c r="R159" s="292"/>
      <c r="S159" s="2525"/>
      <c r="T159" s="2526" t="s">
        <v>458</v>
      </c>
      <c r="U159" s="2527"/>
      <c r="V159" s="2528"/>
      <c r="W159" s="2529"/>
      <c r="X159" s="2530"/>
      <c r="Y159" s="2531"/>
      <c r="Z159" s="2532"/>
      <c r="AA159" s="2533"/>
      <c r="AB159" s="2534"/>
      <c r="AC159" s="2535"/>
      <c r="AD159" s="2536"/>
      <c r="AE159" s="2537"/>
      <c r="AF159" s="2538"/>
      <c r="AG159" s="2539"/>
      <c r="AH159" s="2540"/>
      <c r="AI159" s="2541"/>
      <c r="AJ159" s="2542"/>
      <c r="AK159" s="2543"/>
      <c r="AL159" s="2544"/>
      <c r="AM159" s="2545"/>
      <c r="AN159" s="1569"/>
      <c r="AO159" s="1551"/>
      <c r="AP159" s="1551" t="str">
        <f t="shared" si="4"/>
        <v>Добавить схему подключения</v>
      </c>
      <c r="AQ159" s="1551"/>
      <c r="AR159" s="1551"/>
      <c r="AS159" s="1562">
        <v>0</v>
      </c>
    </row>
    <row r="160" spans="1:45" s="559" customFormat="1" ht="0.75" customHeight="1">
      <c r="A160" s="1270"/>
      <c r="B160" s="1270"/>
      <c r="C160" s="1270"/>
      <c r="D160" s="1270"/>
      <c r="E160" s="2897" t="s">
        <v>98</v>
      </c>
      <c r="F160" s="2897"/>
      <c r="G160" s="2896"/>
      <c r="H160" s="1270"/>
      <c r="I160" s="1270"/>
      <c r="J160" s="1270"/>
      <c r="K160" s="1270"/>
      <c r="L160" s="1472"/>
      <c r="M160" s="1242"/>
      <c r="N160" s="1242"/>
      <c r="O160" s="1569"/>
      <c r="P160" s="1243"/>
      <c r="Q160" s="1271"/>
      <c r="R160" s="1243"/>
      <c r="S160" s="1245"/>
      <c r="T160" s="1246" t="s">
        <v>174</v>
      </c>
      <c r="U160" s="1247"/>
      <c r="V160" s="1247"/>
      <c r="W160" s="1247"/>
      <c r="X160" s="1247"/>
      <c r="Y160" s="1247"/>
      <c r="Z160" s="1247"/>
      <c r="AA160" s="1247"/>
      <c r="AB160" s="1247"/>
      <c r="AC160" s="1247"/>
      <c r="AD160" s="1247"/>
      <c r="AE160" s="1247"/>
      <c r="AF160" s="1247"/>
      <c r="AG160" s="1247"/>
      <c r="AH160" s="1247"/>
      <c r="AI160" s="1247"/>
      <c r="AJ160" s="1247"/>
      <c r="AK160" s="1247"/>
      <c r="AL160" s="1247"/>
      <c r="AM160" s="1247"/>
      <c r="AN160" s="1569"/>
      <c r="AO160" s="1551"/>
      <c r="AP160" s="1551" t="str">
        <f t="shared" si="4"/>
        <v>Добавить источник для дифференциации</v>
      </c>
      <c r="AQ160" s="1551"/>
      <c r="AR160" s="1551"/>
      <c r="AS160" s="1569">
        <v>0</v>
      </c>
    </row>
    <row r="161" spans="1:45" s="559" customFormat="1" ht="0.75" customHeight="1">
      <c r="A161" s="1270"/>
      <c r="B161" s="1270"/>
      <c r="C161" s="1270"/>
      <c r="D161" s="1270"/>
      <c r="E161" s="2897" t="s">
        <v>98</v>
      </c>
      <c r="F161" s="2896"/>
      <c r="G161" s="1270"/>
      <c r="H161" s="1270"/>
      <c r="I161" s="1270"/>
      <c r="J161" s="1270"/>
      <c r="K161" s="1270"/>
      <c r="L161" s="1472"/>
      <c r="M161" s="1248"/>
      <c r="N161" s="1248"/>
      <c r="O161" s="1569"/>
      <c r="P161" s="1243"/>
      <c r="Q161" s="1271"/>
      <c r="R161" s="1243"/>
      <c r="S161" s="1249"/>
      <c r="T161" s="1250" t="s">
        <v>176</v>
      </c>
      <c r="U161" s="1251"/>
      <c r="V161" s="1251"/>
      <c r="W161" s="1251"/>
      <c r="X161" s="1251"/>
      <c r="Y161" s="1251"/>
      <c r="Z161" s="1251"/>
      <c r="AA161" s="1251"/>
      <c r="AB161" s="1251"/>
      <c r="AC161" s="1251"/>
      <c r="AD161" s="1251"/>
      <c r="AE161" s="1251"/>
      <c r="AF161" s="1251"/>
      <c r="AG161" s="1251"/>
      <c r="AH161" s="1251"/>
      <c r="AI161" s="1251"/>
      <c r="AJ161" s="1251"/>
      <c r="AK161" s="1251"/>
      <c r="AL161" s="1251"/>
      <c r="AM161" s="1251"/>
      <c r="AN161" s="1569"/>
      <c r="AO161" s="1551"/>
      <c r="AP161" s="1551" t="str">
        <f t="shared" si="4"/>
        <v>Добавить централизованную систему для дифференциации</v>
      </c>
      <c r="AQ161" s="1551"/>
      <c r="AR161" s="1551"/>
      <c r="AS161" s="1569">
        <v>0</v>
      </c>
    </row>
    <row r="162" spans="1:45" s="559" customFormat="1" ht="0.75" customHeight="1">
      <c r="A162" s="1270"/>
      <c r="B162" s="1270"/>
      <c r="C162" s="1270"/>
      <c r="D162" s="1270"/>
      <c r="E162" s="2896" t="s">
        <v>98</v>
      </c>
      <c r="F162" s="1270"/>
      <c r="G162" s="1270"/>
      <c r="H162" s="1270"/>
      <c r="I162" s="1270"/>
      <c r="J162" s="1270"/>
      <c r="K162" s="1270"/>
      <c r="L162" s="1472"/>
      <c r="M162" s="1248"/>
      <c r="N162" s="1248"/>
      <c r="O162" s="1569"/>
      <c r="P162" s="1243"/>
      <c r="Q162" s="1271"/>
      <c r="R162" s="1243"/>
      <c r="S162" s="1249"/>
      <c r="T162" s="1252" t="s">
        <v>178</v>
      </c>
      <c r="U162" s="1251"/>
      <c r="V162" s="1251"/>
      <c r="W162" s="1251"/>
      <c r="X162" s="1251"/>
      <c r="Y162" s="1251"/>
      <c r="Z162" s="1251"/>
      <c r="AA162" s="1251"/>
      <c r="AB162" s="1251"/>
      <c r="AC162" s="1251"/>
      <c r="AD162" s="1251"/>
      <c r="AE162" s="1251"/>
      <c r="AF162" s="1251"/>
      <c r="AG162" s="1251"/>
      <c r="AH162" s="1251"/>
      <c r="AI162" s="1251"/>
      <c r="AJ162" s="1251"/>
      <c r="AK162" s="1251"/>
      <c r="AL162" s="1251"/>
      <c r="AM162" s="1251"/>
      <c r="AN162" s="1569"/>
      <c r="AO162" s="1551"/>
      <c r="AP162" s="1551" t="str">
        <f t="shared" si="4"/>
        <v>Добавить территорию для дифференциации</v>
      </c>
      <c r="AQ162" s="1551"/>
      <c r="AR162" s="1551"/>
      <c r="AS162" s="1569">
        <v>0</v>
      </c>
    </row>
    <row r="163" spans="1:45" s="1569" customFormat="1" ht="0.75" customHeight="1">
      <c r="A163" s="1241"/>
      <c r="B163" s="1241"/>
      <c r="C163" s="1241"/>
      <c r="D163" s="1241"/>
      <c r="E163" s="1270"/>
      <c r="F163" s="1241"/>
      <c r="G163" s="1241"/>
      <c r="H163" s="1241"/>
      <c r="I163" s="1241"/>
      <c r="J163" s="1241"/>
      <c r="K163" s="1241"/>
      <c r="L163" s="1266"/>
      <c r="M163" s="1248"/>
      <c r="N163" s="1248"/>
      <c r="P163" s="1243"/>
      <c r="Q163" s="1244"/>
      <c r="R163" s="1243"/>
      <c r="S163" s="1249"/>
      <c r="T163" s="1252" t="s">
        <v>212</v>
      </c>
      <c r="U163" s="1251"/>
      <c r="V163" s="1251"/>
      <c r="W163" s="1251"/>
      <c r="X163" s="1251"/>
      <c r="Y163" s="1251"/>
      <c r="Z163" s="1251"/>
      <c r="AA163" s="1251"/>
      <c r="AB163" s="1251"/>
      <c r="AC163" s="1251"/>
      <c r="AD163" s="1251"/>
      <c r="AE163" s="1251"/>
      <c r="AF163" s="1251"/>
      <c r="AG163" s="1251"/>
      <c r="AH163" s="1251"/>
      <c r="AI163" s="1251"/>
      <c r="AJ163" s="1251"/>
      <c r="AK163" s="1251"/>
      <c r="AL163" s="1251"/>
      <c r="AM163" s="1251"/>
      <c r="AO163" s="720"/>
      <c r="AP163" s="720" t="str">
        <f t="shared" si="4"/>
        <v>Добавить наименование тарифа</v>
      </c>
      <c r="AQ163" s="720"/>
      <c r="AR163" s="720"/>
      <c r="AS163" s="455">
        <v>1</v>
      </c>
    </row>
    <row r="164" spans="1:45" ht="11.25" customHeight="1">
      <c r="M164" s="1087"/>
      <c r="N164" s="1087"/>
      <c r="O164" s="474"/>
      <c r="P164" s="1082"/>
      <c r="Q164" s="1082"/>
      <c r="R164" s="1082"/>
      <c r="S164" s="1082"/>
      <c r="AN164" s="1082"/>
      <c r="AO164" s="1082"/>
      <c r="AP164" s="1082"/>
      <c r="AQ164" s="1082"/>
      <c r="AR164" s="1082"/>
      <c r="AS164" s="1082">
        <v>11</v>
      </c>
    </row>
    <row r="165" spans="1:45" ht="28.5" customHeight="1">
      <c r="O165" s="474"/>
      <c r="S165" s="1180"/>
      <c r="T165" s="2895"/>
      <c r="U165" s="2895"/>
      <c r="V165" s="2895"/>
      <c r="W165" s="2895"/>
      <c r="X165" s="2895"/>
      <c r="Y165" s="2895"/>
      <c r="Z165" s="2895"/>
      <c r="AA165" s="2895"/>
      <c r="AB165" s="2895"/>
      <c r="AC165" s="2895"/>
      <c r="AD165" s="2895"/>
      <c r="AE165" s="2895"/>
      <c r="AF165" s="2895"/>
      <c r="AG165" s="2895"/>
      <c r="AH165" s="2895"/>
      <c r="AI165" s="2895"/>
      <c r="AJ165" s="2895"/>
      <c r="AK165" s="2895"/>
      <c r="AL165" s="2895"/>
      <c r="AM165" s="2895"/>
      <c r="AS165" s="1082">
        <v>27</v>
      </c>
    </row>
    <row r="166" spans="1:45" ht="65.25" customHeight="1">
      <c r="O166" s="474"/>
      <c r="T166" s="2895"/>
      <c r="U166" s="2895"/>
      <c r="V166" s="2895"/>
      <c r="W166" s="2895"/>
      <c r="X166" s="2895"/>
      <c r="Y166" s="2895"/>
      <c r="Z166" s="2895"/>
      <c r="AA166" s="2895"/>
      <c r="AB166" s="2895"/>
      <c r="AC166" s="2895"/>
      <c r="AD166" s="2895"/>
      <c r="AE166" s="2895"/>
      <c r="AF166" s="2895"/>
      <c r="AG166" s="2895"/>
      <c r="AH166" s="2895"/>
      <c r="AI166" s="2895"/>
      <c r="AJ166" s="2895"/>
      <c r="AK166" s="2895"/>
      <c r="AL166" s="2895"/>
      <c r="AM166" s="2895"/>
      <c r="AS166" s="1082">
        <v>62</v>
      </c>
    </row>
    <row r="167" spans="1:45" ht="15" customHeight="1">
      <c r="O167" s="474"/>
      <c r="AS167" s="1082">
        <v>14</v>
      </c>
    </row>
    <row r="168" spans="1:45" ht="18.75" customHeight="1">
      <c r="O168" s="474"/>
      <c r="S168" s="1180"/>
      <c r="T168" s="2895"/>
      <c r="U168" s="2895"/>
      <c r="V168" s="2895"/>
      <c r="W168" s="2895"/>
      <c r="X168" s="2895"/>
      <c r="Y168" s="2895"/>
      <c r="Z168" s="2895"/>
      <c r="AA168" s="2895"/>
      <c r="AB168" s="2895"/>
      <c r="AC168" s="2895"/>
      <c r="AD168" s="2895"/>
      <c r="AE168" s="2895"/>
      <c r="AF168" s="2895"/>
      <c r="AG168" s="2895"/>
      <c r="AH168" s="2895"/>
      <c r="AI168" s="2895"/>
      <c r="AJ168" s="2895"/>
      <c r="AK168" s="2895"/>
      <c r="AL168" s="2895"/>
      <c r="AM168" s="2895"/>
      <c r="AS168" s="1082">
        <v>18</v>
      </c>
    </row>
    <row r="169" spans="1:45" ht="18.75" customHeight="1">
      <c r="O169" s="474"/>
      <c r="T169" s="2895"/>
      <c r="U169" s="2895"/>
      <c r="V169" s="2895"/>
      <c r="W169" s="2895"/>
      <c r="X169" s="2895"/>
      <c r="Y169" s="2895"/>
      <c r="Z169" s="2895"/>
      <c r="AA169" s="2895"/>
      <c r="AB169" s="2895"/>
      <c r="AC169" s="2895"/>
      <c r="AD169" s="2895"/>
      <c r="AE169" s="2895"/>
      <c r="AF169" s="2895"/>
      <c r="AG169" s="2895"/>
      <c r="AH169" s="2895"/>
      <c r="AI169" s="2895"/>
      <c r="AJ169" s="2895"/>
      <c r="AK169" s="2895"/>
      <c r="AL169" s="2895"/>
      <c r="AM169" s="2895"/>
      <c r="AS169" s="1082">
        <v>18</v>
      </c>
    </row>
    <row r="170" spans="1:45" ht="29.25" customHeight="1">
      <c r="O170" s="474"/>
      <c r="S170" s="1180"/>
      <c r="T170" s="2895"/>
      <c r="U170" s="2895"/>
      <c r="V170" s="2895"/>
      <c r="W170" s="2895"/>
      <c r="X170" s="2895"/>
      <c r="Y170" s="2895"/>
      <c r="Z170" s="2895"/>
      <c r="AA170" s="2895"/>
      <c r="AB170" s="2895"/>
      <c r="AC170" s="2895"/>
      <c r="AD170" s="2895"/>
      <c r="AE170" s="2895"/>
      <c r="AF170" s="2895"/>
      <c r="AG170" s="2895"/>
      <c r="AH170" s="2895"/>
      <c r="AI170" s="2895"/>
      <c r="AJ170" s="2895"/>
      <c r="AK170" s="2895"/>
      <c r="AL170" s="2895"/>
      <c r="AM170" s="2895"/>
      <c r="AS170" s="1082">
        <v>28</v>
      </c>
    </row>
    <row r="171" spans="1:45" ht="22.5" hidden="1" customHeight="1">
      <c r="A171" s="1087" t="s">
        <v>87</v>
      </c>
      <c r="B171" s="1087">
        <v>0</v>
      </c>
      <c r="C171" s="1087">
        <v>0</v>
      </c>
      <c r="D171" s="1087">
        <v>0</v>
      </c>
      <c r="E171" s="1087">
        <v>0</v>
      </c>
      <c r="F171" s="1087">
        <v>0</v>
      </c>
      <c r="G171" s="1087">
        <v>0</v>
      </c>
      <c r="H171" s="1087">
        <v>0</v>
      </c>
      <c r="I171" s="1087">
        <v>0</v>
      </c>
      <c r="J171" s="1087">
        <v>0</v>
      </c>
      <c r="K171" s="1087">
        <v>0</v>
      </c>
      <c r="L171" s="1256">
        <v>0</v>
      </c>
      <c r="M171" s="1289">
        <v>0</v>
      </c>
      <c r="N171" s="1289">
        <v>0</v>
      </c>
      <c r="O171" s="1289">
        <v>0</v>
      </c>
      <c r="P171" s="1255">
        <v>3</v>
      </c>
      <c r="Q171" s="282">
        <v>3</v>
      </c>
      <c r="R171" s="282">
        <v>3</v>
      </c>
      <c r="S171" s="518">
        <v>12</v>
      </c>
      <c r="T171" s="1082">
        <v>31</v>
      </c>
      <c r="U171" s="1082">
        <v>0</v>
      </c>
      <c r="V171" s="1082">
        <v>0</v>
      </c>
      <c r="W171" s="1082">
        <v>0</v>
      </c>
      <c r="X171" s="1082">
        <v>0</v>
      </c>
      <c r="Y171" s="1082">
        <v>0</v>
      </c>
      <c r="Z171" s="1082">
        <v>0</v>
      </c>
      <c r="AA171" s="1082">
        <v>0</v>
      </c>
      <c r="AB171" s="1082">
        <v>0</v>
      </c>
      <c r="AC171" s="1082">
        <v>0</v>
      </c>
      <c r="AD171" s="1082">
        <v>24</v>
      </c>
      <c r="AE171" s="1082">
        <v>0</v>
      </c>
      <c r="AF171" s="1082">
        <v>24</v>
      </c>
      <c r="AG171" s="1082">
        <v>24</v>
      </c>
      <c r="AH171" s="1082">
        <v>11</v>
      </c>
      <c r="AI171" s="1082">
        <v>3</v>
      </c>
      <c r="AJ171" s="1082">
        <v>11</v>
      </c>
      <c r="AK171" s="1082">
        <v>0</v>
      </c>
      <c r="AL171" s="1082">
        <v>4</v>
      </c>
      <c r="AM171" s="1082">
        <v>115</v>
      </c>
      <c r="AN171" s="448">
        <v>10</v>
      </c>
      <c r="AO171" s="448">
        <v>10</v>
      </c>
      <c r="AP171" s="448">
        <v>10</v>
      </c>
      <c r="AQ171" s="448">
        <v>10</v>
      </c>
      <c r="AR171" s="448">
        <v>10</v>
      </c>
      <c r="AS171" s="1082">
        <v>23</v>
      </c>
    </row>
  </sheetData>
  <sheetProtection formatColumns="0" formatRows="0" insertRows="0" deleteColumns="0" deleteRows="0" sort="0" autoFilter="0"/>
  <mergeCells count="350">
    <mergeCell ref="AM141:AM143"/>
    <mergeCell ref="AH141:AH142"/>
    <mergeCell ref="AI141:AI142"/>
    <mergeCell ref="AJ141:AJ142"/>
    <mergeCell ref="AK141:AK142"/>
    <mergeCell ref="V140:AC140"/>
    <mergeCell ref="AD140:AL140"/>
    <mergeCell ref="J140:J143"/>
    <mergeCell ref="Q140:Q143"/>
    <mergeCell ref="K141:K142"/>
    <mergeCell ref="Z141:Z142"/>
    <mergeCell ref="AA141:AA142"/>
    <mergeCell ref="AB141:AB142"/>
    <mergeCell ref="AC141:AC142"/>
    <mergeCell ref="AM137:AM139"/>
    <mergeCell ref="AH137:AH138"/>
    <mergeCell ref="AI137:AI138"/>
    <mergeCell ref="AJ137:AJ138"/>
    <mergeCell ref="AK137:AK138"/>
    <mergeCell ref="V136:AC136"/>
    <mergeCell ref="AD136:AL136"/>
    <mergeCell ref="J136:J139"/>
    <mergeCell ref="Q136:Q139"/>
    <mergeCell ref="K137:K138"/>
    <mergeCell ref="Z137:Z138"/>
    <mergeCell ref="AA137:AA138"/>
    <mergeCell ref="AB137:AB138"/>
    <mergeCell ref="AC137:AC138"/>
    <mergeCell ref="E149:E162"/>
    <mergeCell ref="F150:F161"/>
    <mergeCell ref="G151:G160"/>
    <mergeCell ref="H152:H159"/>
    <mergeCell ref="I153:I158"/>
    <mergeCell ref="P153:P158"/>
    <mergeCell ref="J154:J157"/>
    <mergeCell ref="Q154:Q157"/>
    <mergeCell ref="K155:K156"/>
    <mergeCell ref="AM155:AM157"/>
    <mergeCell ref="AH155:AH156"/>
    <mergeCell ref="AI155:AI156"/>
    <mergeCell ref="AJ155:AJ156"/>
    <mergeCell ref="AK155:AK156"/>
    <mergeCell ref="V154:AC154"/>
    <mergeCell ref="AD154:AL154"/>
    <mergeCell ref="V149:AC149"/>
    <mergeCell ref="AD149:AL149"/>
    <mergeCell ref="V150:AC150"/>
    <mergeCell ref="AD150:AL150"/>
    <mergeCell ref="V151:AC151"/>
    <mergeCell ref="AD151:AL151"/>
    <mergeCell ref="V152:AC152"/>
    <mergeCell ref="AD152:AL152"/>
    <mergeCell ref="V153:AC153"/>
    <mergeCell ref="AD153:AL153"/>
    <mergeCell ref="Z155:Z156"/>
    <mergeCell ref="AA155:AA156"/>
    <mergeCell ref="AB155:AB156"/>
    <mergeCell ref="AC155:AC156"/>
    <mergeCell ref="E127:E148"/>
    <mergeCell ref="F128:F147"/>
    <mergeCell ref="G129:G146"/>
    <mergeCell ref="H130:H145"/>
    <mergeCell ref="I131:I144"/>
    <mergeCell ref="P131:P144"/>
    <mergeCell ref="J132:J135"/>
    <mergeCell ref="Q132:Q135"/>
    <mergeCell ref="K133:K134"/>
    <mergeCell ref="AM133:AM135"/>
    <mergeCell ref="AH133:AH134"/>
    <mergeCell ref="AI133:AI134"/>
    <mergeCell ref="AJ133:AJ134"/>
    <mergeCell ref="AK133:AK134"/>
    <mergeCell ref="V132:AC132"/>
    <mergeCell ref="AD132:AL132"/>
    <mergeCell ref="V127:AC127"/>
    <mergeCell ref="AD127:AL127"/>
    <mergeCell ref="V128:AC128"/>
    <mergeCell ref="AD128:AL128"/>
    <mergeCell ref="V129:AC129"/>
    <mergeCell ref="AD129:AL129"/>
    <mergeCell ref="V130:AC130"/>
    <mergeCell ref="AD130:AL130"/>
    <mergeCell ref="V131:AC131"/>
    <mergeCell ref="AD131:AL131"/>
    <mergeCell ref="Z133:Z134"/>
    <mergeCell ref="AA133:AA134"/>
    <mergeCell ref="AB133:AB134"/>
    <mergeCell ref="AC133:AC134"/>
    <mergeCell ref="E113:E126"/>
    <mergeCell ref="F114:F125"/>
    <mergeCell ref="G115:G124"/>
    <mergeCell ref="H116:H123"/>
    <mergeCell ref="I117:I122"/>
    <mergeCell ref="P117:P122"/>
    <mergeCell ref="J118:J121"/>
    <mergeCell ref="Q118:Q121"/>
    <mergeCell ref="K119:K120"/>
    <mergeCell ref="AM119:AM121"/>
    <mergeCell ref="AH119:AH120"/>
    <mergeCell ref="AI119:AI120"/>
    <mergeCell ref="AJ119:AJ120"/>
    <mergeCell ref="AK119:AK120"/>
    <mergeCell ref="V118:AC118"/>
    <mergeCell ref="AD118:AL118"/>
    <mergeCell ref="V113:AC113"/>
    <mergeCell ref="AD113:AL113"/>
    <mergeCell ref="V114:AC114"/>
    <mergeCell ref="AD114:AL114"/>
    <mergeCell ref="V115:AC115"/>
    <mergeCell ref="AD115:AL115"/>
    <mergeCell ref="V116:AC116"/>
    <mergeCell ref="AD116:AL116"/>
    <mergeCell ref="V117:AC117"/>
    <mergeCell ref="AD117:AL117"/>
    <mergeCell ref="Z119:Z120"/>
    <mergeCell ref="AA119:AA120"/>
    <mergeCell ref="AB119:AB120"/>
    <mergeCell ref="AC119:AC120"/>
    <mergeCell ref="E99:E112"/>
    <mergeCell ref="F100:F111"/>
    <mergeCell ref="G101:G110"/>
    <mergeCell ref="H102:H109"/>
    <mergeCell ref="I103:I108"/>
    <mergeCell ref="P103:P108"/>
    <mergeCell ref="J104:J107"/>
    <mergeCell ref="Q104:Q107"/>
    <mergeCell ref="K105:K106"/>
    <mergeCell ref="AM105:AM107"/>
    <mergeCell ref="AH105:AH106"/>
    <mergeCell ref="AI105:AI106"/>
    <mergeCell ref="AJ105:AJ106"/>
    <mergeCell ref="AK105:AK106"/>
    <mergeCell ref="V104:AC104"/>
    <mergeCell ref="AD104:AL104"/>
    <mergeCell ref="V99:AC99"/>
    <mergeCell ref="AD99:AL99"/>
    <mergeCell ref="V100:AC100"/>
    <mergeCell ref="AD100:AL100"/>
    <mergeCell ref="V101:AC101"/>
    <mergeCell ref="AD101:AL101"/>
    <mergeCell ref="V102:AC102"/>
    <mergeCell ref="AD102:AL102"/>
    <mergeCell ref="V103:AC103"/>
    <mergeCell ref="AD103:AL103"/>
    <mergeCell ref="Z105:Z106"/>
    <mergeCell ref="AA105:AA106"/>
    <mergeCell ref="AB105:AB106"/>
    <mergeCell ref="AC105:AC106"/>
    <mergeCell ref="E85:E98"/>
    <mergeCell ref="F86:F97"/>
    <mergeCell ref="G87:G96"/>
    <mergeCell ref="H88:H95"/>
    <mergeCell ref="I89:I94"/>
    <mergeCell ref="P89:P94"/>
    <mergeCell ref="J90:J93"/>
    <mergeCell ref="Q90:Q93"/>
    <mergeCell ref="K91:K92"/>
    <mergeCell ref="AC77:AC78"/>
    <mergeCell ref="AM91:AM93"/>
    <mergeCell ref="AH91:AH92"/>
    <mergeCell ref="AI91:AI92"/>
    <mergeCell ref="AJ91:AJ92"/>
    <mergeCell ref="AK91:AK92"/>
    <mergeCell ref="V90:AC90"/>
    <mergeCell ref="AD90:AL90"/>
    <mergeCell ref="V85:AC85"/>
    <mergeCell ref="AD85:AL85"/>
    <mergeCell ref="V86:AC86"/>
    <mergeCell ref="AD86:AL86"/>
    <mergeCell ref="V87:AC87"/>
    <mergeCell ref="AD87:AL87"/>
    <mergeCell ref="V88:AC88"/>
    <mergeCell ref="AD88:AL88"/>
    <mergeCell ref="V89:AC89"/>
    <mergeCell ref="AD89:AL89"/>
    <mergeCell ref="Z91:Z92"/>
    <mergeCell ref="AA91:AA92"/>
    <mergeCell ref="AB91:AB92"/>
    <mergeCell ref="AC91:AC92"/>
    <mergeCell ref="E71:E84"/>
    <mergeCell ref="F72:F83"/>
    <mergeCell ref="G73:G82"/>
    <mergeCell ref="H74:H81"/>
    <mergeCell ref="I75:I80"/>
    <mergeCell ref="P75:P80"/>
    <mergeCell ref="J76:J79"/>
    <mergeCell ref="Q76:Q79"/>
    <mergeCell ref="K77:K78"/>
    <mergeCell ref="Z63:Z64"/>
    <mergeCell ref="AA63:AA64"/>
    <mergeCell ref="AB63:AB64"/>
    <mergeCell ref="AC63:AC64"/>
    <mergeCell ref="AM77:AM79"/>
    <mergeCell ref="AH77:AH78"/>
    <mergeCell ref="AI77:AI78"/>
    <mergeCell ref="AJ77:AJ78"/>
    <mergeCell ref="AK77:AK78"/>
    <mergeCell ref="V76:AC76"/>
    <mergeCell ref="AD76:AL76"/>
    <mergeCell ref="V71:AC71"/>
    <mergeCell ref="AD71:AL71"/>
    <mergeCell ref="V72:AC72"/>
    <mergeCell ref="AD72:AL72"/>
    <mergeCell ref="V73:AC73"/>
    <mergeCell ref="AD73:AL73"/>
    <mergeCell ref="V74:AC74"/>
    <mergeCell ref="AD74:AL74"/>
    <mergeCell ref="V75:AC75"/>
    <mergeCell ref="AD75:AL75"/>
    <mergeCell ref="Z77:Z78"/>
    <mergeCell ref="AA77:AA78"/>
    <mergeCell ref="AB77:AB78"/>
    <mergeCell ref="E57:E70"/>
    <mergeCell ref="F58:F69"/>
    <mergeCell ref="G59:G68"/>
    <mergeCell ref="H60:H67"/>
    <mergeCell ref="I61:I66"/>
    <mergeCell ref="P61:P66"/>
    <mergeCell ref="J62:J65"/>
    <mergeCell ref="Q62:Q65"/>
    <mergeCell ref="K63:K64"/>
    <mergeCell ref="V62:AC62"/>
    <mergeCell ref="AD62:AL62"/>
    <mergeCell ref="V57:AC57"/>
    <mergeCell ref="AD57:AL57"/>
    <mergeCell ref="V58:AC58"/>
    <mergeCell ref="AD58:AL58"/>
    <mergeCell ref="V59:AC59"/>
    <mergeCell ref="AD59:AL59"/>
    <mergeCell ref="V60:AC60"/>
    <mergeCell ref="AD60:AL60"/>
    <mergeCell ref="V61:AC61"/>
    <mergeCell ref="AD61:AL61"/>
    <mergeCell ref="S26:AJ26"/>
    <mergeCell ref="S27:AJ27"/>
    <mergeCell ref="S29:T29"/>
    <mergeCell ref="AD29:AJ29"/>
    <mergeCell ref="S30:T30"/>
    <mergeCell ref="V30:AB30"/>
    <mergeCell ref="AD30:AJ30"/>
    <mergeCell ref="S31:T31"/>
    <mergeCell ref="E2:E15"/>
    <mergeCell ref="F3:F14"/>
    <mergeCell ref="G4:G13"/>
    <mergeCell ref="H5:H12"/>
    <mergeCell ref="I6:I11"/>
    <mergeCell ref="P6:P11"/>
    <mergeCell ref="J7:J10"/>
    <mergeCell ref="Q7:Q10"/>
    <mergeCell ref="K8:K9"/>
    <mergeCell ref="Z8:Z9"/>
    <mergeCell ref="AA8:AA9"/>
    <mergeCell ref="AB8:AB9"/>
    <mergeCell ref="AC8:AC9"/>
    <mergeCell ref="V29:AB29"/>
    <mergeCell ref="V31:AB31"/>
    <mergeCell ref="AD31:AJ31"/>
    <mergeCell ref="V7:AC7"/>
    <mergeCell ref="AD7:AL7"/>
    <mergeCell ref="V2:AC2"/>
    <mergeCell ref="AD2:AL2"/>
    <mergeCell ref="V3:AC3"/>
    <mergeCell ref="AD3:AL3"/>
    <mergeCell ref="V4:AC4"/>
    <mergeCell ref="AD4:AL4"/>
    <mergeCell ref="V5:AC5"/>
    <mergeCell ref="AD5:AL5"/>
    <mergeCell ref="V6:AC6"/>
    <mergeCell ref="AD6:AL6"/>
    <mergeCell ref="AM8:AM10"/>
    <mergeCell ref="AH17:AH18"/>
    <mergeCell ref="AI17:AI18"/>
    <mergeCell ref="AJ17:AJ18"/>
    <mergeCell ref="AK17:AK18"/>
    <mergeCell ref="AH8:AH9"/>
    <mergeCell ref="AI8:AI9"/>
    <mergeCell ref="AJ8:AJ9"/>
    <mergeCell ref="AK8:AK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169:AM169"/>
    <mergeCell ref="T170:AM170"/>
    <mergeCell ref="T168:AM168"/>
    <mergeCell ref="AM49:AM51"/>
    <mergeCell ref="T165:AM165"/>
    <mergeCell ref="T166:AM166"/>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AM63:AM65"/>
    <mergeCell ref="AH63:AH64"/>
    <mergeCell ref="AI63:AI64"/>
    <mergeCell ref="AJ63:AJ64"/>
    <mergeCell ref="AK63:AK64"/>
  </mergeCells>
  <dataValidations count="8">
    <dataValidation type="list" allowBlank="1" showInputMessage="1" errorTitle="Ошибка" error="Выберите значение из списка" prompt="Выберите значение из списка" sqref="V983194:AL983194 V65690:AL65690 V131226:AL131226 V196762:AL196762 V262298:AL262298 V327834:AL327834 V393370:AL393370 V458906:AL458906 V524442:AL524442 V589978:AL589978 V655514:AL655514 V721050:AL721050 V786586:AL786586 V852122:AL852122 V917658:AL917658">
      <formula1>kind_of_cons</formula1>
    </dataValidation>
    <dataValidation allowBlank="1" sqref="S131229:AM131235 S196765:AM196771 S262301:AM262307 S327837:AM327843 S393373:AM393379 S458909:AM458915 S524445:AM524451 S589981:AM589987 S655517:AM655523 S721053:AM721059 S786589:AM786595 S852125:AM852131 S917661:AM917667 S983197:AM983203 S65693:AM65699"/>
    <dataValidation type="list" allowBlank="1" showInputMessage="1" showErrorMessage="1" errorTitle="Ошибка" error="Выберите значение из списка" sqref="V983193:W983193 V65689:W65689 V131225:W131225 V196761:W196761 V262297:W262297 V327833:W327833 V393369:W393369 V458905:W458905 V524441:W524441 V589977:W589977 V655513:W655513 V721049:W721049 V786585:W786585 V852121:W852121 V917657:W917657 AD983193:AE983193 AD65689:AE65689 AD131225:AE131225 AD196761:AE196761 AD262297:AE262297 AD327833:AE327833 AD393369:AE393369 AD458905:AE458905 AD524441:AE524441 AD589977:AE589977 AD655513:AE655513 AD721049:AE721049 AD786585:AE786585 AD852121:AE852121 AD917657:AE917657">
      <formula1>kind_of_scheme_in</formula1>
    </dataValidation>
    <dataValidation type="textLength" operator="lessThanOrEqual" allowBlank="1" showInputMessage="1" showErrorMessage="1" errorTitle="Ошибка" error="Допускается ввод не более 900 символов!" sqref="AM65685:AM65692 AM131221:AM131228 AM196757:AM196764 AM262293:AM262300 AM327829:AM327836 AM393365:AM393372 AM458901:AM458908 AM524437:AM524444 AM589973:AM589980 AM655509:AM655516 AM721045:AM721052 AM786581:AM786588 AM852117:AM852124 AM917653:AM917660 AM983189:AM983196">
      <formula1>900</formula1>
    </dataValidation>
    <dataValidation type="list" allowBlank="1" showInputMessage="1" showErrorMessage="1" errorTitle="Ошибка" error="Выберите значение из списка" sqref="T65691 T131227 T196763 T262299 T327835 T393371 T458907 T524443 T589979 T655515 T721051 T786587 T852123 T917659 T983195">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691 Z131227 Z196763 Z262299 Z327835 Z393371 Z458907 Z524443 Z589979 Z655515 Z721051 Z786587 Z852123 Z917659 Z983195 AB65691 AB131227 AB196763 AB262299 AB327835 AB393371 AB458907 AB524443 AB589979 AB655515 AB721051 AB786587 AB852123 AB917659 AB983195 Z8 AH65691 AH131227 AH196763 AH262299 AH327835 AH393371 AH458907 AH524443 AH589979 AH655515 AH721051 AH786587 AH852123 AH917659 AH983195 AJ65691 AJ131227 AJ196763 AJ262299 AJ327835 AJ393371 AJ458907 AJ524443 AJ589979 AJ655515 AJ721051 AJ786587 AJ852123 AJ917659 AJ983195 AJ49 AH49 AH8 AJ8 AB8 AH17 AJ17 Z49 AB49 Z63 AB63 AH63 AJ63 Z77 AB77 AH77 AJ77 Z91 AB91 AH91 AJ91 Z105 AB105 AH105 AJ105 Z119 AB119 AH119 AJ119 Z133 AB133 AH133 AJ133 Z155 AB155 AH155 AJ155 Z137 AB137 AH137 AJ137 Z141 AB141 AH141 AJ141"/>
    <dataValidation allowBlank="1" showInputMessage="1" showErrorMessage="1" prompt="Для выбора выполните двойной щелчок левой клавиши мыши по соответствующей ячейке." sqref="AA65691 AA131227 AA196763 AA262299 AA327835 AA393371 AA458907 AA524443 AA589979 AA655515 AA721051 AA786587 AA852123 AA917659 AA983195 AC131227 AC458907 AC196763 AC262299 AC327835 AC393371 AC524443 AC589979 AC655515 AC721051 AC786587 AC852123 AC917659 AC983195 AC65691 AI65691 AI131227 AI196763 AI262299 AI327835 AI393371 AI458907 AI524443 AI589979 AI655515 AI721051 AI786587 AI852123 AI917659 AI983195 AK327835 AK393371 AK49 AK524443 AK8 AK589979 AK655515 AK17 AK721051 AK786587 AK852123 AK917659 AK983195 AK65691 AK131227 AI49 AK458907 AI8 AC8 AA8 AI17 AK196763 AA49 AC49 AK262299 AA63 AC63 AI63 AK63 AA77 AC77 AI77 AK77 AA91 AC91 AI91 AK91 AA105 AC105 AI105 AK105 AA119 AC119 AI119 AK119 AA133 AC133 AI133 AK133 AA155 AC155 AI155 AK155 AA137 AC137 AI137 AK137 AA141 AC141 AI141 AK141"/>
    <dataValidation allowBlank="1" promptTitle="checkPeriodRange" sqref="Y65692 Y131228 Y196764 Y262300 Y327836 Y393372 Y458908 Y524444 Y589980 Y655516 Y721052 Y786588 Y852124 Y917660 Y983196 Y9 AG65692 AG131228 AG196764 AG262300 AG327836 AG393372 AG458908 AG524444 AG589980 AG655516 AG721052 AG786588 AG852124 AG917660 AG983196 AG9 AG50 AG18 Y50 Y64 AG64 Y78 AG78 Y92 AG92 Y106 AG106 Y120 AG120 Y134 AG134 Y156 AG156 Y138 AG138 Y142 AG142"/>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7" hidden="1" customWidth="1"/>
    <col min="15" max="15" width="23.42578125" style="2007" hidden="1" customWidth="1"/>
    <col min="16" max="16" width="3" style="2007"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923">
        <v>1</v>
      </c>
      <c r="F2" s="1194"/>
      <c r="G2" s="1194"/>
      <c r="H2" s="1194"/>
      <c r="I2" s="1194"/>
      <c r="J2" s="1194"/>
      <c r="K2" s="1194"/>
      <c r="L2" s="1237"/>
      <c r="M2" s="1537"/>
      <c r="N2" s="1537"/>
      <c r="O2" s="1537"/>
      <c r="P2" s="1517"/>
      <c r="Q2" s="297"/>
      <c r="R2" s="292"/>
      <c r="S2" s="1880" t="e">
        <f>INDEX(PT_DIFFERENTIATION_NUM_NTAR,MATCH(A2,PT_DIFFERENTIATION_NTAR_ID,0))</f>
        <v>#N/A</v>
      </c>
      <c r="T2" s="1452" t="s">
        <v>128</v>
      </c>
      <c r="U2" s="238"/>
      <c r="V2" s="2890"/>
      <c r="W2" s="2891"/>
      <c r="X2" s="2891"/>
      <c r="Y2" s="2891"/>
      <c r="Z2" s="2891"/>
      <c r="AA2" s="2891"/>
      <c r="AB2" s="2891"/>
      <c r="AC2" s="2892"/>
      <c r="AD2" s="2890" t="e">
        <f>INDEX(PT_DIFFERENTIATION_NTAR,MATCH(A2,PT_DIFFERENTIATION_NTAR_ID,0))</f>
        <v>#N/A</v>
      </c>
      <c r="AE2" s="2891"/>
      <c r="AF2" s="2891"/>
      <c r="AG2" s="2891"/>
      <c r="AH2" s="2891"/>
      <c r="AI2" s="2891"/>
      <c r="AJ2" s="2891"/>
      <c r="AK2" s="2891"/>
      <c r="AL2" s="2892"/>
      <c r="AM2" s="1185" t="s">
        <v>441</v>
      </c>
      <c r="AO2" s="1551"/>
      <c r="AP2" s="1551" t="str">
        <f t="shared" ref="AP2:AP15" si="0">IF(T2="","",T2)</f>
        <v>Наименование тарифа</v>
      </c>
      <c r="AQ2" s="1551"/>
      <c r="AR2" s="1551"/>
      <c r="AS2" s="1558">
        <v>0</v>
      </c>
    </row>
    <row r="3" spans="1:45" ht="21" hidden="1" customHeight="1">
      <c r="A3" s="1194"/>
      <c r="B3" s="1194"/>
      <c r="C3" s="1194"/>
      <c r="D3" s="1194"/>
      <c r="E3" s="2924"/>
      <c r="F3" s="2923">
        <v>1</v>
      </c>
      <c r="G3" s="1194"/>
      <c r="H3" s="1194"/>
      <c r="I3" s="1194"/>
      <c r="J3" s="1194"/>
      <c r="K3" s="1194"/>
      <c r="L3" s="1237"/>
      <c r="M3" s="1537"/>
      <c r="N3" s="1537"/>
      <c r="O3" s="1537"/>
      <c r="P3" s="1862"/>
      <c r="Q3" s="289"/>
      <c r="R3" s="290"/>
      <c r="S3" s="1880" t="e">
        <f>INDEX(PT_DIFFERENTIATION_NUM_TER,MATCH(B3,PT_DIFFERENTIATION_TER_ID,0))</f>
        <v>#N/A</v>
      </c>
      <c r="T3" s="1449" t="s">
        <v>442</v>
      </c>
      <c r="U3" s="238"/>
      <c r="V3" s="2890"/>
      <c r="W3" s="2891"/>
      <c r="X3" s="2891"/>
      <c r="Y3" s="2891"/>
      <c r="Z3" s="2891"/>
      <c r="AA3" s="2891"/>
      <c r="AB3" s="2891"/>
      <c r="AC3" s="2892"/>
      <c r="AD3" s="2890" t="e">
        <f>INDEX(PT_DIFFERENTIATION_TER,MATCH(B3,PT_DIFFERENTIATION_TER_ID,0))</f>
        <v>#N/A</v>
      </c>
      <c r="AE3" s="2891"/>
      <c r="AF3" s="2891"/>
      <c r="AG3" s="2891"/>
      <c r="AH3" s="2891"/>
      <c r="AI3" s="2891"/>
      <c r="AJ3" s="2891"/>
      <c r="AK3" s="2891"/>
      <c r="AL3" s="2892"/>
      <c r="AM3" s="1185" t="s">
        <v>443</v>
      </c>
      <c r="AO3" s="1551"/>
      <c r="AP3" s="1551" t="str">
        <f t="shared" si="0"/>
        <v>Территория действия тарифа</v>
      </c>
      <c r="AQ3" s="1551"/>
      <c r="AR3" s="1551"/>
      <c r="AS3" s="1558">
        <v>0</v>
      </c>
    </row>
    <row r="4" spans="1:45" ht="23.25" hidden="1" customHeight="1">
      <c r="A4" s="1194"/>
      <c r="B4" s="1194"/>
      <c r="C4" s="1194"/>
      <c r="D4" s="1194"/>
      <c r="E4" s="2924"/>
      <c r="F4" s="2924"/>
      <c r="G4" s="2923">
        <v>1</v>
      </c>
      <c r="H4" s="1194"/>
      <c r="I4" s="1194"/>
      <c r="J4" s="1194"/>
      <c r="K4" s="1194"/>
      <c r="L4" s="1237"/>
      <c r="M4" s="1537"/>
      <c r="N4" s="1537"/>
      <c r="O4" s="1537"/>
      <c r="P4" s="291"/>
      <c r="Q4" s="289"/>
      <c r="R4" s="290"/>
      <c r="S4" s="1880" t="e">
        <f>INDEX(PT_DIFFERENTIATION_NUM_CS,MATCH(C4,PT_DIFFERENTIATION_CS_ID,0))</f>
        <v>#N/A</v>
      </c>
      <c r="T4" s="247" t="s">
        <v>444</v>
      </c>
      <c r="U4" s="238"/>
      <c r="V4" s="2890"/>
      <c r="W4" s="2891"/>
      <c r="X4" s="2891"/>
      <c r="Y4" s="2891"/>
      <c r="Z4" s="2891"/>
      <c r="AA4" s="2891"/>
      <c r="AB4" s="2891"/>
      <c r="AC4" s="2892"/>
      <c r="AD4" s="2890" t="e">
        <f>INDEX(PT_DIFFERENTIATION_CS,MATCH(C4,PT_DIFFERENTIATION_CS_ID,0))</f>
        <v>#N/A</v>
      </c>
      <c r="AE4" s="2891"/>
      <c r="AF4" s="2891"/>
      <c r="AG4" s="2891"/>
      <c r="AH4" s="2891"/>
      <c r="AI4" s="2891"/>
      <c r="AJ4" s="2891"/>
      <c r="AK4" s="2891"/>
      <c r="AL4" s="2892"/>
      <c r="AM4" s="1185" t="s">
        <v>445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924"/>
      <c r="F5" s="2924"/>
      <c r="G5" s="2924"/>
      <c r="H5" s="2923">
        <v>1</v>
      </c>
      <c r="I5" s="1194"/>
      <c r="J5" s="1194"/>
      <c r="K5" s="1194"/>
      <c r="L5" s="1237"/>
      <c r="M5" s="1537"/>
      <c r="N5" s="1537"/>
      <c r="O5" s="1537"/>
      <c r="P5" s="291"/>
      <c r="Q5" s="289"/>
      <c r="R5" s="290"/>
      <c r="S5" s="1880" t="e">
        <f>INDEX(PT_DIFFERENTIATION_NUM_IST_TE,MATCH(D5,PT_DIFFERENTIATION_IST_TE_ID,0))</f>
        <v>#N/A</v>
      </c>
      <c r="T5" s="248" t="s">
        <v>446</v>
      </c>
      <c r="U5" s="238"/>
      <c r="V5" s="2890"/>
      <c r="W5" s="2891"/>
      <c r="X5" s="2891"/>
      <c r="Y5" s="2891"/>
      <c r="Z5" s="2891"/>
      <c r="AA5" s="2891"/>
      <c r="AB5" s="2891"/>
      <c r="AC5" s="2892"/>
      <c r="AD5" s="2890" t="e">
        <f>INDEX(PT_DIFFERENTIATION_IST_TE,MATCH(D5,PT_DIFFERENTIATION_IST_TE_ID,0))</f>
        <v>#N/A</v>
      </c>
      <c r="AE5" s="2891"/>
      <c r="AF5" s="2891"/>
      <c r="AG5" s="2891"/>
      <c r="AH5" s="2891"/>
      <c r="AI5" s="2891"/>
      <c r="AJ5" s="2891"/>
      <c r="AK5" s="2891"/>
      <c r="AL5" s="2892"/>
      <c r="AM5" s="1185" t="s">
        <v>447</v>
      </c>
      <c r="AO5" s="1551"/>
      <c r="AP5" s="1551" t="str">
        <f t="shared" si="0"/>
        <v xml:space="preserve">Источник тепловой энергии  </v>
      </c>
      <c r="AQ5" s="1551"/>
      <c r="AR5" s="1551"/>
      <c r="AS5" s="1558">
        <v>0</v>
      </c>
    </row>
    <row r="6" spans="1:45" ht="47.25" hidden="1" customHeight="1">
      <c r="A6" s="1194"/>
      <c r="B6" s="1194"/>
      <c r="C6" s="1194"/>
      <c r="D6" s="1194"/>
      <c r="E6" s="2924"/>
      <c r="F6" s="2924"/>
      <c r="G6" s="2924"/>
      <c r="H6" s="2924"/>
      <c r="I6" s="2758" t="e">
        <f>S5&amp;".1"</f>
        <v>#N/A</v>
      </c>
      <c r="J6" s="1194"/>
      <c r="K6" s="1194"/>
      <c r="L6" s="1237" t="s">
        <v>448</v>
      </c>
      <c r="M6" s="1562"/>
      <c r="P6" s="2900">
        <v>1</v>
      </c>
      <c r="Q6" s="1876"/>
      <c r="R6" s="293"/>
      <c r="S6" s="1880" t="e">
        <f>$I6</f>
        <v>#N/A</v>
      </c>
      <c r="T6" s="223" t="s">
        <v>449</v>
      </c>
      <c r="U6" s="238"/>
      <c r="V6" s="2884"/>
      <c r="W6" s="2885"/>
      <c r="X6" s="2885"/>
      <c r="Y6" s="2885"/>
      <c r="Z6" s="2885"/>
      <c r="AA6" s="2885"/>
      <c r="AB6" s="2885"/>
      <c r="AC6" s="2886"/>
      <c r="AD6" s="2884"/>
      <c r="AE6" s="2885"/>
      <c r="AF6" s="2885"/>
      <c r="AG6" s="2885"/>
      <c r="AH6" s="2885"/>
      <c r="AI6" s="2885"/>
      <c r="AJ6" s="2885"/>
      <c r="AK6" s="2885"/>
      <c r="AL6" s="2886"/>
      <c r="AM6" s="1185" t="s">
        <v>450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924"/>
      <c r="F7" s="2924"/>
      <c r="G7" s="2924"/>
      <c r="H7" s="2924"/>
      <c r="I7" s="2740"/>
      <c r="J7" s="2758" t="e">
        <f>I6&amp;".1"</f>
        <v>#N/A</v>
      </c>
      <c r="K7" s="1194"/>
      <c r="L7" s="1237" t="s">
        <v>451</v>
      </c>
      <c r="M7" s="1562"/>
      <c r="N7" s="1558"/>
      <c r="P7" s="2900"/>
      <c r="Q7" s="2900">
        <v>1</v>
      </c>
      <c r="R7" s="294"/>
      <c r="S7" s="1880" t="e">
        <f>$J7</f>
        <v>#N/A</v>
      </c>
      <c r="T7" s="224" t="s">
        <v>452</v>
      </c>
      <c r="U7" s="238"/>
      <c r="V7" s="2884"/>
      <c r="W7" s="2885"/>
      <c r="X7" s="2885"/>
      <c r="Y7" s="2885"/>
      <c r="Z7" s="2885"/>
      <c r="AA7" s="2885"/>
      <c r="AB7" s="2885"/>
      <c r="AC7" s="2886"/>
      <c r="AD7" s="2884"/>
      <c r="AE7" s="2885"/>
      <c r="AF7" s="2885"/>
      <c r="AG7" s="2885"/>
      <c r="AH7" s="2885"/>
      <c r="AI7" s="2885"/>
      <c r="AJ7" s="2885"/>
      <c r="AK7" s="2885"/>
      <c r="AL7" s="2886"/>
      <c r="AM7" s="1185" t="s">
        <v>453</v>
      </c>
      <c r="AO7" s="1551"/>
      <c r="AP7" s="1551" t="str">
        <f t="shared" si="0"/>
        <v>Группа потребителей</v>
      </c>
      <c r="AQ7" s="1551"/>
      <c r="AR7" s="1551"/>
      <c r="AS7" s="1558">
        <v>0</v>
      </c>
    </row>
    <row r="8" spans="1:45" ht="21" hidden="1" customHeight="1">
      <c r="A8" s="1194"/>
      <c r="B8" s="1194"/>
      <c r="C8" s="1194"/>
      <c r="D8" s="1194"/>
      <c r="E8" s="2924"/>
      <c r="F8" s="2924"/>
      <c r="G8" s="2924"/>
      <c r="H8" s="2924"/>
      <c r="I8" s="2740"/>
      <c r="J8" s="2740"/>
      <c r="K8" s="2758" t="e">
        <f>J7&amp;".1"</f>
        <v>#N/A</v>
      </c>
      <c r="L8" s="1237" t="s">
        <v>454</v>
      </c>
      <c r="M8" s="1562"/>
      <c r="N8" s="1558"/>
      <c r="O8" s="1558"/>
      <c r="P8" s="2900"/>
      <c r="Q8" s="2900"/>
      <c r="R8" s="294">
        <v>1</v>
      </c>
      <c r="S8" s="1880" t="e">
        <f>$K8</f>
        <v>#N/A</v>
      </c>
      <c r="T8" s="1274"/>
      <c r="U8" s="238"/>
      <c r="V8" s="688"/>
      <c r="W8" s="263"/>
      <c r="X8" s="688"/>
      <c r="Y8" s="1184"/>
      <c r="Z8" s="2901"/>
      <c r="AA8" s="2768" t="s">
        <v>71</v>
      </c>
      <c r="AB8" s="2901"/>
      <c r="AC8" s="2768" t="s">
        <v>71</v>
      </c>
      <c r="AD8" s="688"/>
      <c r="AE8" s="263"/>
      <c r="AF8" s="688"/>
      <c r="AG8" s="1184"/>
      <c r="AH8" s="2901"/>
      <c r="AI8" s="2768" t="s">
        <v>71</v>
      </c>
      <c r="AJ8" s="2901"/>
      <c r="AK8" s="2768" t="s">
        <v>71</v>
      </c>
      <c r="AL8" s="263"/>
      <c r="AM8" s="2919" t="s">
        <v>455</v>
      </c>
      <c r="AN8" s="1563" t="e">
        <f ca="1">STRCHECKDATE(V9:AL9)</f>
        <v>#NAME?</v>
      </c>
      <c r="AO8" s="1551"/>
      <c r="AP8" s="1551" t="str">
        <f t="shared" si="0"/>
        <v/>
      </c>
      <c r="AQ8" s="1551"/>
      <c r="AR8" s="1551"/>
      <c r="AS8" s="1558">
        <v>0</v>
      </c>
    </row>
    <row r="9" spans="1:45" ht="0.75" hidden="1" customHeight="1">
      <c r="A9" s="1194"/>
      <c r="B9" s="1194"/>
      <c r="C9" s="1194"/>
      <c r="D9" s="1194"/>
      <c r="E9" s="2924"/>
      <c r="F9" s="2924"/>
      <c r="G9" s="2924"/>
      <c r="H9" s="2924"/>
      <c r="I9" s="2740"/>
      <c r="J9" s="2740"/>
      <c r="K9" s="2758"/>
      <c r="L9" s="1237"/>
      <c r="M9" s="1562"/>
      <c r="N9" s="1558"/>
      <c r="O9" s="1558"/>
      <c r="P9" s="2900"/>
      <c r="Q9" s="2900"/>
      <c r="R9" s="294"/>
      <c r="S9" s="1889"/>
      <c r="T9" s="238"/>
      <c r="U9" s="238"/>
      <c r="V9" s="263"/>
      <c r="W9" s="263"/>
      <c r="X9" s="263"/>
      <c r="Y9" s="266" t="str">
        <f>Z8&amp;"-"&amp;AB8</f>
        <v>-</v>
      </c>
      <c r="Z9" s="2902"/>
      <c r="AA9" s="2768"/>
      <c r="AB9" s="2902"/>
      <c r="AC9" s="2768"/>
      <c r="AD9" s="263"/>
      <c r="AE9" s="263"/>
      <c r="AF9" s="263"/>
      <c r="AG9" s="266" t="str">
        <f>AH8&amp;"-"&amp;AJ8</f>
        <v>-</v>
      </c>
      <c r="AH9" s="2902"/>
      <c r="AI9" s="2768"/>
      <c r="AJ9" s="2902"/>
      <c r="AK9" s="2768"/>
      <c r="AL9" s="263"/>
      <c r="AM9" s="2920"/>
      <c r="AO9" s="1551"/>
      <c r="AP9" s="1551" t="str">
        <f t="shared" si="0"/>
        <v/>
      </c>
      <c r="AQ9" s="1551"/>
      <c r="AR9" s="1551"/>
      <c r="AS9" s="1558">
        <v>0</v>
      </c>
    </row>
    <row r="10" spans="1:45" ht="15" hidden="1" customHeight="1">
      <c r="A10" s="1194"/>
      <c r="B10" s="1194"/>
      <c r="C10" s="1194"/>
      <c r="D10" s="1194"/>
      <c r="E10" s="2924"/>
      <c r="F10" s="2924"/>
      <c r="G10" s="2924"/>
      <c r="H10" s="2924"/>
      <c r="I10" s="2740"/>
      <c r="J10" s="2758"/>
      <c r="K10" s="1194"/>
      <c r="L10" s="1237"/>
      <c r="M10" s="1562"/>
      <c r="N10" s="1558"/>
      <c r="P10" s="2900"/>
      <c r="Q10" s="2900"/>
      <c r="R10" s="293"/>
      <c r="S10" s="1205"/>
      <c r="T10" s="226" t="s">
        <v>456</v>
      </c>
      <c r="U10" s="537"/>
      <c r="V10" s="537"/>
      <c r="W10" s="537"/>
      <c r="X10" s="537"/>
      <c r="Y10" s="537"/>
      <c r="Z10" s="537"/>
      <c r="AA10" s="537"/>
      <c r="AB10" s="537"/>
      <c r="AC10" s="537"/>
      <c r="AD10" s="537"/>
      <c r="AE10" s="537"/>
      <c r="AF10" s="537"/>
      <c r="AG10" s="537"/>
      <c r="AH10" s="537"/>
      <c r="AI10" s="537"/>
      <c r="AJ10" s="537"/>
      <c r="AK10" s="537"/>
      <c r="AL10" s="262"/>
      <c r="AM10" s="292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924"/>
      <c r="F11" s="2924"/>
      <c r="G11" s="2924"/>
      <c r="H11" s="2924"/>
      <c r="I11" s="2758"/>
      <c r="J11" s="1194"/>
      <c r="K11" s="1194"/>
      <c r="L11" s="1237"/>
      <c r="M11" s="1562"/>
      <c r="P11" s="2900"/>
      <c r="Q11" s="1876"/>
      <c r="R11" s="293"/>
      <c r="S11" s="1205"/>
      <c r="T11" s="225" t="s">
        <v>457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924"/>
      <c r="F12" s="2924"/>
      <c r="G12" s="2924"/>
      <c r="H12" s="2923"/>
      <c r="I12" s="1194"/>
      <c r="J12" s="1194"/>
      <c r="K12" s="1194"/>
      <c r="L12" s="1237"/>
      <c r="M12" s="1537"/>
      <c r="N12" s="1537"/>
      <c r="O12" s="1562"/>
      <c r="P12" s="297"/>
      <c r="Q12" s="312"/>
      <c r="R12" s="292"/>
      <c r="S12" s="1205"/>
      <c r="T12" s="302" t="s">
        <v>458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301"/>
      <c r="B13" s="1301"/>
      <c r="C13" s="1301"/>
      <c r="D13" s="1301"/>
      <c r="E13" s="2924"/>
      <c r="F13" s="2924"/>
      <c r="G13" s="2923"/>
      <c r="H13" s="1301"/>
      <c r="I13" s="1301"/>
      <c r="J13" s="1301"/>
      <c r="K13" s="1301"/>
      <c r="L13" s="1304"/>
      <c r="M13" s="1305"/>
      <c r="N13" s="1305"/>
      <c r="O13" s="288"/>
      <c r="P13" s="1243"/>
      <c r="Q13" s="1244"/>
      <c r="R13" s="1243"/>
      <c r="S13" s="1245"/>
      <c r="T13" s="1246" t="s">
        <v>174</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301"/>
      <c r="B14" s="1301"/>
      <c r="C14" s="1301"/>
      <c r="D14" s="1301"/>
      <c r="E14" s="2924"/>
      <c r="F14" s="2923"/>
      <c r="G14" s="1301"/>
      <c r="H14" s="1301"/>
      <c r="I14" s="1301"/>
      <c r="J14" s="1301"/>
      <c r="K14" s="1301"/>
      <c r="L14" s="1304"/>
      <c r="M14" s="1306"/>
      <c r="N14" s="1306"/>
      <c r="O14" s="288"/>
      <c r="P14" s="1243"/>
      <c r="Q14" s="1244"/>
      <c r="R14" s="1243"/>
      <c r="S14" s="1249"/>
      <c r="T14" s="1250" t="s">
        <v>176</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301"/>
      <c r="B15" s="1301"/>
      <c r="C15" s="1301"/>
      <c r="D15" s="1301"/>
      <c r="E15" s="2923"/>
      <c r="F15" s="1301"/>
      <c r="G15" s="1301"/>
      <c r="H15" s="1301"/>
      <c r="I15" s="1301"/>
      <c r="J15" s="1301"/>
      <c r="K15" s="1301"/>
      <c r="L15" s="1304"/>
      <c r="M15" s="1306"/>
      <c r="N15" s="1306"/>
      <c r="O15" s="288"/>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894"/>
      <c r="AI17" s="2893" t="s">
        <v>71</v>
      </c>
      <c r="AJ17" s="2894"/>
      <c r="AK17" s="2893" t="s">
        <v>71</v>
      </c>
      <c r="AS17" s="1558">
        <v>0</v>
      </c>
    </row>
    <row r="18" spans="1:45" ht="14.25" hidden="1" customHeight="1">
      <c r="AD18" s="1287"/>
      <c r="AE18" s="1287"/>
      <c r="AF18" s="1287"/>
      <c r="AG18" s="266" t="str">
        <f>AH17&amp;"-"&amp;AJ17</f>
        <v>-</v>
      </c>
      <c r="AH18" s="2893"/>
      <c r="AI18" s="2893"/>
      <c r="AJ18" s="2893"/>
      <c r="AK18" s="289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459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460</v>
      </c>
      <c r="P22" s="1289"/>
      <c r="Q22" s="1298"/>
      <c r="R22" s="1298"/>
      <c r="S22" s="666"/>
      <c r="T22" s="1293" t="s">
        <v>461</v>
      </c>
      <c r="AA22" s="532" t="s">
        <v>462</v>
      </c>
      <c r="AC22" s="532" t="s">
        <v>463</v>
      </c>
      <c r="AD22" s="1293" t="s">
        <v>461</v>
      </c>
      <c r="AI22" s="532" t="s">
        <v>464</v>
      </c>
      <c r="AK22" s="532" t="s">
        <v>463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5" customHeight="1">
      <c r="Q25" s="313"/>
      <c r="R25" s="313"/>
      <c r="S25" s="1202"/>
      <c r="T25" s="394"/>
      <c r="U25" s="394"/>
      <c r="AS25" s="1558">
        <v>14</v>
      </c>
    </row>
    <row r="26" spans="1:45" ht="15" customHeight="1">
      <c r="Q26" s="313"/>
      <c r="R26" s="313"/>
      <c r="S26" s="28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77"/>
      <c r="U26" s="2877"/>
      <c r="V26" s="2877"/>
      <c r="W26" s="2877"/>
      <c r="X26" s="2877"/>
      <c r="Y26" s="2877"/>
      <c r="Z26" s="2877"/>
      <c r="AA26" s="2877"/>
      <c r="AB26" s="2877"/>
      <c r="AC26" s="2877"/>
      <c r="AD26" s="2877"/>
      <c r="AE26" s="2877"/>
      <c r="AF26" s="2877"/>
      <c r="AG26" s="2877"/>
      <c r="AH26" s="2877"/>
      <c r="AI26" s="2877"/>
      <c r="AJ26" s="2877"/>
      <c r="AK26" s="1170"/>
      <c r="AS26" s="1558">
        <v>14</v>
      </c>
    </row>
    <row r="27" spans="1:45" ht="15" customHeight="1">
      <c r="Q27" s="313"/>
      <c r="R27" s="313"/>
      <c r="S27" s="2849" t="str">
        <f>IF(org=0,"Не определено",org)</f>
        <v>ТМУП "ТТС"</v>
      </c>
      <c r="T27" s="2849"/>
      <c r="U27" s="2849"/>
      <c r="V27" s="2849"/>
      <c r="W27" s="2849"/>
      <c r="X27" s="2849"/>
      <c r="Y27" s="2849"/>
      <c r="Z27" s="2849"/>
      <c r="AA27" s="2849"/>
      <c r="AB27" s="2849"/>
      <c r="AC27" s="2849"/>
      <c r="AD27" s="2849"/>
      <c r="AE27" s="2849"/>
      <c r="AF27" s="2849"/>
      <c r="AG27" s="2849"/>
      <c r="AH27" s="2849"/>
      <c r="AI27" s="2849"/>
      <c r="AJ27" s="284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887" t="s">
        <v>46</v>
      </c>
      <c r="T29" s="2887"/>
      <c r="U29" s="1299"/>
      <c r="V29" s="2889" t="str">
        <f>IF(TITLE_NAME_OR_PR_CHANGE="",IF(TITLE_NAME_OR_PR="","",TITLE_NAME_OR_PR),TITLE_NAME_OR_PR_CHANGE)</f>
        <v/>
      </c>
      <c r="W29" s="2889"/>
      <c r="X29" s="2889"/>
      <c r="Y29" s="2889"/>
      <c r="Z29" s="2889"/>
      <c r="AA29" s="2889"/>
      <c r="AB29" s="2889"/>
      <c r="AC29" s="1562"/>
      <c r="AD29" s="2889" t="str">
        <f>IF(TITLE_NAME_OR_PR_CHANGE="",IF(TITLE_NAME_OR_PR="","",TITLE_NAME_OR_PR),TITLE_NAME_OR_PR_CHANGE)</f>
        <v/>
      </c>
      <c r="AE29" s="2889"/>
      <c r="AF29" s="2889"/>
      <c r="AG29" s="2889"/>
      <c r="AH29" s="2889"/>
      <c r="AI29" s="2889"/>
      <c r="AJ29" s="288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887" t="s">
        <v>465</v>
      </c>
      <c r="T30" s="2887"/>
      <c r="U30" s="1299"/>
      <c r="V30" s="2888" t="str">
        <f>IF(TITLE_DATE_PR_CHANGE="",IF(TITLE_DATE_PR="","",TITLE_DATE_PR),TITLE_DATE_PR_CHANGE)</f>
        <v>14.11.2024</v>
      </c>
      <c r="W30" s="2888"/>
      <c r="X30" s="2888"/>
      <c r="Y30" s="2888"/>
      <c r="Z30" s="2888"/>
      <c r="AA30" s="2888"/>
      <c r="AB30" s="2888"/>
      <c r="AC30" s="1562"/>
      <c r="AD30" s="2888" t="str">
        <f>IF(TITLE_DATE_PR_CHANGE="",IF(TITLE_DATE_PR="","",TITLE_DATE_PR),TITLE_DATE_PR_CHANGE)</f>
        <v>14.11.2024</v>
      </c>
      <c r="AE30" s="2888"/>
      <c r="AF30" s="2888"/>
      <c r="AG30" s="2888"/>
      <c r="AH30" s="2888"/>
      <c r="AI30" s="2888"/>
      <c r="AJ30" s="288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887" t="s">
        <v>466</v>
      </c>
      <c r="T31" s="2887"/>
      <c r="U31" s="1299"/>
      <c r="V31" s="2889" t="str">
        <f>IF(TITLE_NUMBER_PR_CHANGE="",IF(TITLE_NUMBER_PR="","",TITLE_NUMBER_PR),TITLE_NUMBER_PR_CHANGE)</f>
        <v>947 от 12.11.2024</v>
      </c>
      <c r="W31" s="2889"/>
      <c r="X31" s="2889"/>
      <c r="Y31" s="2889"/>
      <c r="Z31" s="2889"/>
      <c r="AA31" s="2889"/>
      <c r="AB31" s="2889"/>
      <c r="AC31" s="1562"/>
      <c r="AD31" s="2889" t="str">
        <f>IF(TITLE_NUMBER_PR_CHANGE="",IF(TITLE_NUMBER_PR="","",TITLE_NUMBER_PR),TITLE_NUMBER_PR_CHANGE)</f>
        <v>947 от 12.11.2024</v>
      </c>
      <c r="AE31" s="2889"/>
      <c r="AF31" s="2889"/>
      <c r="AG31" s="2889"/>
      <c r="AH31" s="2889"/>
      <c r="AI31" s="2889"/>
      <c r="AJ31" s="288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887" t="s">
        <v>47</v>
      </c>
      <c r="T32" s="2887"/>
      <c r="U32" s="1299"/>
      <c r="V32" s="2889" t="str">
        <f>IF(TITLE_IST_PUB_CHANGE="",IF(TITLE_IST_PUB="","",TITLE_IST_PUB),TITLE_IST_PUB_CHANGE)</f>
        <v/>
      </c>
      <c r="W32" s="2889"/>
      <c r="X32" s="2889"/>
      <c r="Y32" s="2889"/>
      <c r="Z32" s="2889"/>
      <c r="AA32" s="2889"/>
      <c r="AB32" s="2889"/>
      <c r="AC32" s="1562"/>
      <c r="AD32" s="2889" t="str">
        <f>IF(TITLE_IST_PUB_CHANGE="",IF(TITLE_IST_PUB="","",TITLE_IST_PUB),TITLE_IST_PUB_CHANGE)</f>
        <v/>
      </c>
      <c r="AE32" s="2889"/>
      <c r="AF32" s="2889"/>
      <c r="AG32" s="2889"/>
      <c r="AH32" s="2889"/>
      <c r="AI32" s="2889"/>
      <c r="AJ32" s="288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887" t="s">
        <v>467</v>
      </c>
      <c r="T34" s="2887"/>
      <c r="U34" s="1299"/>
      <c r="V34" s="2888" t="str">
        <f>IF(TITLE_DATE_PR_CHANGE="",IF(TITLE_DATE_PR="","",TITLE_DATE_PR),TITLE_DATE_PR_CHANGE)</f>
        <v>14.11.2024</v>
      </c>
      <c r="W34" s="2888"/>
      <c r="X34" s="2888"/>
      <c r="Y34" s="2888"/>
      <c r="Z34" s="2888"/>
      <c r="AA34" s="2888"/>
      <c r="AB34" s="2888"/>
      <c r="AC34" s="1562"/>
      <c r="AD34" s="2888" t="str">
        <f>IF(TITLE_DATE_PR_CHANGE="",IF(TITLE_DATE_PR="","",TITLE_DATE_PR),TITLE_DATE_PR_CHANGE)</f>
        <v>14.11.2024</v>
      </c>
      <c r="AE34" s="2888"/>
      <c r="AF34" s="2888"/>
      <c r="AG34" s="2888"/>
      <c r="AH34" s="2888"/>
      <c r="AI34" s="2888"/>
      <c r="AJ34" s="288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887" t="s">
        <v>468</v>
      </c>
      <c r="T35" s="2887"/>
      <c r="U35" s="1299"/>
      <c r="V35" s="2889" t="str">
        <f>IF(TITLE_NUMBER_PR_CHANGE="",IF(TITLE_NUMBER_PR="","",TITLE_NUMBER_PR),TITLE_NUMBER_PR_CHANGE)</f>
        <v>947 от 12.11.2024</v>
      </c>
      <c r="W35" s="2889"/>
      <c r="X35" s="2889"/>
      <c r="Y35" s="2889"/>
      <c r="Z35" s="2889"/>
      <c r="AA35" s="2889"/>
      <c r="AB35" s="2889"/>
      <c r="AC35" s="1562"/>
      <c r="AD35" s="2889" t="str">
        <f>IF(TITLE_NUMBER_PR_CHANGE="",IF(TITLE_NUMBER_PR="","",TITLE_NUMBER_PR),TITLE_NUMBER_PR_CHANGE)</f>
        <v>947 от 12.11.2024</v>
      </c>
      <c r="AE35" s="2889"/>
      <c r="AF35" s="2889"/>
      <c r="AG35" s="2889"/>
      <c r="AH35" s="2889"/>
      <c r="AI35" s="2889"/>
      <c r="AJ35" s="288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469</v>
      </c>
      <c r="AD36" s="1562"/>
      <c r="AE36" s="1562"/>
      <c r="AF36" s="1562"/>
      <c r="AG36" s="1562"/>
      <c r="AH36" s="1562"/>
      <c r="AI36" s="1562"/>
      <c r="AJ36" s="1562"/>
      <c r="AK36" s="1569" t="s">
        <v>469</v>
      </c>
      <c r="AN36" s="305"/>
      <c r="AO36" s="305"/>
      <c r="AP36" s="305"/>
      <c r="AQ36" s="305"/>
      <c r="AR36" s="305"/>
      <c r="AS36" s="355">
        <v>0</v>
      </c>
    </row>
    <row r="37" spans="1:45" ht="15" customHeight="1">
      <c r="Q37" s="313"/>
      <c r="R37" s="313"/>
      <c r="S37" s="1202"/>
      <c r="T37" s="394"/>
      <c r="U37" s="1171"/>
      <c r="V37" s="2908"/>
      <c r="W37" s="2908"/>
      <c r="X37" s="2908"/>
      <c r="Y37" s="2908"/>
      <c r="Z37" s="2908"/>
      <c r="AA37" s="2908"/>
      <c r="AB37" s="2908"/>
      <c r="AC37" s="2908"/>
      <c r="AD37" s="2908"/>
      <c r="AE37" s="2908"/>
      <c r="AF37" s="2908"/>
      <c r="AG37" s="2908"/>
      <c r="AH37" s="2908"/>
      <c r="AI37" s="2908"/>
      <c r="AJ37" s="2908"/>
      <c r="AK37" s="2908"/>
      <c r="AS37" s="1558">
        <v>14</v>
      </c>
    </row>
    <row r="38" spans="1:45" ht="15" customHeight="1">
      <c r="Q38" s="313"/>
      <c r="R38" s="313"/>
      <c r="S38" s="2758" t="s">
        <v>345</v>
      </c>
      <c r="T38" s="2758"/>
      <c r="U38" s="2758"/>
      <c r="V38" s="2758"/>
      <c r="W38" s="2758"/>
      <c r="X38" s="2758"/>
      <c r="Y38" s="2758"/>
      <c r="Z38" s="2758"/>
      <c r="AA38" s="2758"/>
      <c r="AB38" s="2758"/>
      <c r="AC38" s="2758"/>
      <c r="AD38" s="2758"/>
      <c r="AE38" s="2758"/>
      <c r="AF38" s="2758"/>
      <c r="AG38" s="2758"/>
      <c r="AH38" s="2758"/>
      <c r="AI38" s="2758"/>
      <c r="AJ38" s="2758"/>
      <c r="AK38" s="2758"/>
      <c r="AL38" s="2758"/>
      <c r="AM38" s="2758" t="s">
        <v>346</v>
      </c>
      <c r="AS38" s="1558">
        <v>14</v>
      </c>
    </row>
    <row r="39" spans="1:45" ht="15" customHeight="1">
      <c r="Q39" s="313"/>
      <c r="R39" s="313"/>
      <c r="S39" s="2909" t="s">
        <v>93</v>
      </c>
      <c r="T39" s="2857" t="s">
        <v>470</v>
      </c>
      <c r="U39" s="275"/>
      <c r="V39" s="2910" t="s">
        <v>471</v>
      </c>
      <c r="W39" s="2911"/>
      <c r="X39" s="2911"/>
      <c r="Y39" s="2911"/>
      <c r="Z39" s="2911"/>
      <c r="AA39" s="2911"/>
      <c r="AB39" s="2912"/>
      <c r="AC39" s="2913" t="s">
        <v>472</v>
      </c>
      <c r="AD39" s="2910" t="s">
        <v>471</v>
      </c>
      <c r="AE39" s="2911"/>
      <c r="AF39" s="2911"/>
      <c r="AG39" s="2911"/>
      <c r="AH39" s="2911"/>
      <c r="AI39" s="2911"/>
      <c r="AJ39" s="2912"/>
      <c r="AK39" s="2913" t="s">
        <v>473</v>
      </c>
      <c r="AL39" s="2916" t="s">
        <v>474</v>
      </c>
      <c r="AM39" s="2758"/>
      <c r="AS39" s="1558">
        <v>14</v>
      </c>
    </row>
    <row r="40" spans="1:45" ht="36" customHeight="1">
      <c r="Q40" s="313"/>
      <c r="R40" s="313"/>
      <c r="S40" s="2909"/>
      <c r="T40" s="2857"/>
      <c r="U40" s="961"/>
      <c r="V40" s="2829" t="s">
        <v>475</v>
      </c>
      <c r="W40" s="2905" t="s">
        <v>476</v>
      </c>
      <c r="X40" s="2740" t="s">
        <v>477</v>
      </c>
      <c r="Y40" s="2739"/>
      <c r="Z40" s="2740" t="s">
        <v>490</v>
      </c>
      <c r="AA40" s="2745"/>
      <c r="AB40" s="2739"/>
      <c r="AC40" s="2914"/>
      <c r="AD40" s="2829" t="s">
        <v>475</v>
      </c>
      <c r="AE40" s="2905" t="s">
        <v>476</v>
      </c>
      <c r="AF40" s="2740" t="s">
        <v>477</v>
      </c>
      <c r="AG40" s="2739"/>
      <c r="AH40" s="2740" t="s">
        <v>478</v>
      </c>
      <c r="AI40" s="2745"/>
      <c r="AJ40" s="2739"/>
      <c r="AK40" s="2914"/>
      <c r="AL40" s="2917"/>
      <c r="AM40" s="2758"/>
      <c r="AS40" s="1558">
        <v>34</v>
      </c>
    </row>
    <row r="41" spans="1:45" ht="36" customHeight="1">
      <c r="A41" s="1193"/>
      <c r="B41" s="1193" t="s">
        <v>140</v>
      </c>
      <c r="C41" s="1193" t="s">
        <v>141</v>
      </c>
      <c r="D41" s="1193" t="s">
        <v>142</v>
      </c>
      <c r="E41" s="1237" t="s">
        <v>479</v>
      </c>
      <c r="F41" s="1237" t="s">
        <v>480</v>
      </c>
      <c r="G41" s="1237" t="s">
        <v>481</v>
      </c>
      <c r="H41" s="1237" t="s">
        <v>482</v>
      </c>
      <c r="I41" s="1237" t="s">
        <v>483</v>
      </c>
      <c r="J41" s="1237" t="s">
        <v>484</v>
      </c>
      <c r="K41" s="1237" t="s">
        <v>485</v>
      </c>
      <c r="L41" s="1237" t="s">
        <v>460</v>
      </c>
      <c r="Q41" s="313"/>
      <c r="R41" s="313"/>
      <c r="S41" s="2909"/>
      <c r="T41" s="2857"/>
      <c r="U41" s="240"/>
      <c r="V41" s="2882"/>
      <c r="W41" s="2906"/>
      <c r="X41" s="1860" t="s">
        <v>486</v>
      </c>
      <c r="Y41" s="1860" t="s">
        <v>487</v>
      </c>
      <c r="Z41" s="1860" t="s">
        <v>488</v>
      </c>
      <c r="AA41" s="2862" t="s">
        <v>489</v>
      </c>
      <c r="AB41" s="2876"/>
      <c r="AC41" s="2915"/>
      <c r="AD41" s="2882"/>
      <c r="AE41" s="2906"/>
      <c r="AF41" s="1860" t="s">
        <v>486</v>
      </c>
      <c r="AG41" s="1860" t="s">
        <v>487</v>
      </c>
      <c r="AH41" s="1860" t="s">
        <v>488</v>
      </c>
      <c r="AI41" s="2862" t="s">
        <v>489</v>
      </c>
      <c r="AJ41" s="2876"/>
      <c r="AK41" s="2915"/>
      <c r="AL41" s="2918"/>
      <c r="AM41" s="2758"/>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114</v>
      </c>
      <c r="T42" s="1182" t="s">
        <v>115</v>
      </c>
      <c r="U42" s="1172" t="str">
        <f ca="1">OFFSET(U42,0,-1)</f>
        <v>2</v>
      </c>
      <c r="V42" s="1878">
        <f ca="1">OFFSET(V42,0,-1)+1</f>
        <v>3</v>
      </c>
      <c r="W42" s="1878"/>
      <c r="X42" s="1878">
        <f ca="1">OFFSET(X42,0,-1)+1</f>
        <v>1</v>
      </c>
      <c r="Y42" s="1878">
        <f ca="1">OFFSET(Y42,0,-1)+1</f>
        <v>2</v>
      </c>
      <c r="Z42" s="1878">
        <f ca="1">OFFSET(Z42,0,-1)+1</f>
        <v>3</v>
      </c>
      <c r="AA42" s="2907">
        <f ca="1">OFFSET(AA42,0,-1)+1</f>
        <v>4</v>
      </c>
      <c r="AB42" s="2907"/>
      <c r="AC42" s="1878">
        <f ca="1">OFFSET(AC42,0,-2)+1</f>
        <v>5</v>
      </c>
      <c r="AD42" s="1878">
        <f ca="1">OFFSET(AD42,0,-1)+1</f>
        <v>6</v>
      </c>
      <c r="AE42" s="1878"/>
      <c r="AF42" s="1878">
        <f ca="1">OFFSET(AF42,0,-1)+1</f>
        <v>1</v>
      </c>
      <c r="AG42" s="1878">
        <f ca="1">OFFSET(AG42,0,-1)+1</f>
        <v>2</v>
      </c>
      <c r="AH42" s="1878">
        <f ca="1">OFFSET(AH42,0,-1)+1</f>
        <v>3</v>
      </c>
      <c r="AI42" s="2907">
        <f ca="1">OFFSET(AI42,0,-1)+1</f>
        <v>4</v>
      </c>
      <c r="AJ42" s="2907"/>
      <c r="AK42" s="1878">
        <f ca="1">OFFSET(AK42,0,-2)+1</f>
        <v>5</v>
      </c>
      <c r="AL42" s="1172">
        <f ca="1">OFFSET(AL42,0,-1)</f>
        <v>5</v>
      </c>
      <c r="AM42" s="1878">
        <f ca="1">OFFSET(AM42,0,-1)+1</f>
        <v>6</v>
      </c>
      <c r="AN42" s="1563"/>
      <c r="AO42" s="1563"/>
      <c r="AP42" s="1563"/>
      <c r="AQ42" s="1563"/>
      <c r="AR42" s="1563"/>
      <c r="AS42" s="1568">
        <v>0</v>
      </c>
    </row>
    <row r="43" spans="1:45" ht="21.75" customHeight="1">
      <c r="A43" s="1194" t="s">
        <v>257</v>
      </c>
      <c r="B43" s="1194"/>
      <c r="C43" s="1194"/>
      <c r="D43" s="1194"/>
      <c r="E43" s="2923">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128</v>
      </c>
      <c r="U43" s="238"/>
      <c r="V43" s="2890"/>
      <c r="W43" s="2891"/>
      <c r="X43" s="2891"/>
      <c r="Y43" s="2891"/>
      <c r="Z43" s="2891"/>
      <c r="AA43" s="2891"/>
      <c r="AB43" s="2891"/>
      <c r="AC43" s="2892"/>
      <c r="AD43" s="2890" t="str">
        <f>INDEX(PT_DIFFERENTIATION_NTAR,MATCH(A43,PT_DIFFERENTIATION_NTAR_ID,0))</f>
        <v/>
      </c>
      <c r="AE43" s="2891"/>
      <c r="AF43" s="2891"/>
      <c r="AG43" s="2891"/>
      <c r="AH43" s="2891"/>
      <c r="AI43" s="2891"/>
      <c r="AJ43" s="2891"/>
      <c r="AK43" s="2891"/>
      <c r="AL43" s="289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75" customHeight="1">
      <c r="A44" s="1194" t="s">
        <v>257</v>
      </c>
      <c r="B44" s="1194" t="s">
        <v>258</v>
      </c>
      <c r="C44" s="1194"/>
      <c r="D44" s="1194"/>
      <c r="E44" s="2924"/>
      <c r="F44" s="2923">
        <v>1</v>
      </c>
      <c r="G44" s="1194"/>
      <c r="H44" s="1194"/>
      <c r="I44" s="1194"/>
      <c r="J44" s="1194"/>
      <c r="K44" s="1194"/>
      <c r="L44" s="1237"/>
      <c r="M44" s="1537"/>
      <c r="N44" s="1537"/>
      <c r="O44" s="1537"/>
      <c r="P44" s="1862"/>
      <c r="Q44" s="289"/>
      <c r="R44" s="290"/>
      <c r="S44" s="1880" t="str">
        <f>INDEX(PT_DIFFERENTIATION_NUM_TER,MATCH(B44,PT_DIFFERENTIATION_TER_ID,0))</f>
        <v>.</v>
      </c>
      <c r="T44" s="1449" t="s">
        <v>442</v>
      </c>
      <c r="U44" s="238"/>
      <c r="V44" s="2890"/>
      <c r="W44" s="2891"/>
      <c r="X44" s="2891"/>
      <c r="Y44" s="2891"/>
      <c r="Z44" s="2891"/>
      <c r="AA44" s="2891"/>
      <c r="AB44" s="2891"/>
      <c r="AC44" s="2892"/>
      <c r="AD44" s="2890" t="str">
        <f>INDEX(PT_DIFFERENTIATION_TER,MATCH(B44,PT_DIFFERENTIATION_TER_ID,0))</f>
        <v/>
      </c>
      <c r="AE44" s="2891"/>
      <c r="AF44" s="2891"/>
      <c r="AG44" s="2891"/>
      <c r="AH44" s="2891"/>
      <c r="AI44" s="2891"/>
      <c r="AJ44" s="2891"/>
      <c r="AK44" s="2891"/>
      <c r="AL44" s="2892"/>
      <c r="AM44" s="1185" t="s">
        <v>443</v>
      </c>
      <c r="AO44" s="1551"/>
      <c r="AP44" s="1551" t="str">
        <f t="shared" si="1"/>
        <v>Территория действия тарифа</v>
      </c>
      <c r="AQ44" s="1551"/>
      <c r="AR44" s="1551"/>
      <c r="AS44" s="1558">
        <v>21</v>
      </c>
    </row>
    <row r="45" spans="1:45" ht="24" customHeight="1">
      <c r="A45" s="1194" t="s">
        <v>257</v>
      </c>
      <c r="B45" s="1194" t="s">
        <v>258</v>
      </c>
      <c r="C45" s="1194" t="s">
        <v>259</v>
      </c>
      <c r="D45" s="1194"/>
      <c r="E45" s="2924"/>
      <c r="F45" s="2924"/>
      <c r="G45" s="2923">
        <v>1</v>
      </c>
      <c r="H45" s="1194"/>
      <c r="I45" s="1194"/>
      <c r="J45" s="1194"/>
      <c r="K45" s="1194"/>
      <c r="L45" s="1237"/>
      <c r="M45" s="1537"/>
      <c r="N45" s="1537"/>
      <c r="O45" s="1537"/>
      <c r="P45" s="291"/>
      <c r="Q45" s="289"/>
      <c r="R45" s="290"/>
      <c r="S45" s="1880" t="str">
        <f>INDEX(PT_DIFFERENTIATION_NUM_CS,MATCH(C45,PT_DIFFERENTIATION_CS_ID,0))</f>
        <v>..</v>
      </c>
      <c r="T45" s="247" t="s">
        <v>444</v>
      </c>
      <c r="U45" s="238"/>
      <c r="V45" s="2890"/>
      <c r="W45" s="2891"/>
      <c r="X45" s="2891"/>
      <c r="Y45" s="2891"/>
      <c r="Z45" s="2891"/>
      <c r="AA45" s="2891"/>
      <c r="AB45" s="2891"/>
      <c r="AC45" s="2892"/>
      <c r="AD45" s="2890" t="str">
        <f>INDEX(PT_DIFFERENTIATION_CS,MATCH(C45,PT_DIFFERENTIATION_CS_ID,0))</f>
        <v/>
      </c>
      <c r="AE45" s="2891"/>
      <c r="AF45" s="2891"/>
      <c r="AG45" s="2891"/>
      <c r="AH45" s="2891"/>
      <c r="AI45" s="2891"/>
      <c r="AJ45" s="2891"/>
      <c r="AK45" s="2891"/>
      <c r="AL45" s="2892"/>
      <c r="AM45" s="1185" t="s">
        <v>445</v>
      </c>
      <c r="AO45" s="1551"/>
      <c r="AP45" s="1551" t="str">
        <f t="shared" si="1"/>
        <v xml:space="preserve">Наименование системы теплоснабжения </v>
      </c>
      <c r="AQ45" s="1551"/>
      <c r="AR45" s="1551"/>
      <c r="AS45" s="1558">
        <v>23</v>
      </c>
    </row>
    <row r="46" spans="1:45" ht="21.75" customHeight="1">
      <c r="A46" s="1194" t="s">
        <v>257</v>
      </c>
      <c r="B46" s="1194" t="s">
        <v>258</v>
      </c>
      <c r="C46" s="1194" t="s">
        <v>259</v>
      </c>
      <c r="D46" s="1194" t="s">
        <v>260</v>
      </c>
      <c r="E46" s="2924"/>
      <c r="F46" s="2924"/>
      <c r="G46" s="2924"/>
      <c r="H46" s="2923">
        <v>1</v>
      </c>
      <c r="I46" s="1194"/>
      <c r="J46" s="1194"/>
      <c r="K46" s="1194"/>
      <c r="L46" s="1237"/>
      <c r="M46" s="1537"/>
      <c r="N46" s="1537"/>
      <c r="O46" s="1537"/>
      <c r="P46" s="291"/>
      <c r="Q46" s="289"/>
      <c r="R46" s="290"/>
      <c r="S46" s="1880" t="str">
        <f>INDEX(PT_DIFFERENTIATION_NUM_IST_TE,MATCH(D46,PT_DIFFERENTIATION_IST_TE_ID,0))</f>
        <v>...</v>
      </c>
      <c r="T46" s="248" t="s">
        <v>446</v>
      </c>
      <c r="U46" s="238"/>
      <c r="V46" s="2890"/>
      <c r="W46" s="2891"/>
      <c r="X46" s="2891"/>
      <c r="Y46" s="2891"/>
      <c r="Z46" s="2891"/>
      <c r="AA46" s="2891"/>
      <c r="AB46" s="2891"/>
      <c r="AC46" s="2892"/>
      <c r="AD46" s="2890" t="str">
        <f>INDEX(PT_DIFFERENTIATION_IST_TE,MATCH(D46,PT_DIFFERENTIATION_IST_TE_ID,0))</f>
        <v/>
      </c>
      <c r="AE46" s="2891"/>
      <c r="AF46" s="2891"/>
      <c r="AG46" s="2891"/>
      <c r="AH46" s="2891"/>
      <c r="AI46" s="2891"/>
      <c r="AJ46" s="2891"/>
      <c r="AK46" s="2891"/>
      <c r="AL46" s="2892"/>
      <c r="AM46" s="1185" t="s">
        <v>447</v>
      </c>
      <c r="AO46" s="1551"/>
      <c r="AP46" s="1551" t="str">
        <f t="shared" si="1"/>
        <v xml:space="preserve">Источник тепловой энергии  </v>
      </c>
      <c r="AQ46" s="1551"/>
      <c r="AR46" s="1551"/>
      <c r="AS46" s="1558">
        <v>21</v>
      </c>
    </row>
    <row r="47" spans="1:45" ht="49.5" customHeight="1">
      <c r="A47" s="1194" t="s">
        <v>257</v>
      </c>
      <c r="B47" s="1194" t="s">
        <v>258</v>
      </c>
      <c r="C47" s="1194" t="s">
        <v>259</v>
      </c>
      <c r="D47" s="1194" t="s">
        <v>260</v>
      </c>
      <c r="E47" s="2924"/>
      <c r="F47" s="2924"/>
      <c r="G47" s="2924"/>
      <c r="H47" s="2924"/>
      <c r="I47" s="2758" t="str">
        <f>S46&amp;".1"</f>
        <v>....1</v>
      </c>
      <c r="J47" s="1194"/>
      <c r="K47" s="1194"/>
      <c r="L47" s="1237" t="s">
        <v>448</v>
      </c>
      <c r="P47" s="2900">
        <v>1</v>
      </c>
      <c r="Q47" s="1876"/>
      <c r="R47" s="293"/>
      <c r="S47" s="1880" t="str">
        <f>$I47</f>
        <v>....1</v>
      </c>
      <c r="T47" s="223" t="s">
        <v>449</v>
      </c>
      <c r="U47" s="238"/>
      <c r="V47" s="2884"/>
      <c r="W47" s="2885"/>
      <c r="X47" s="2885"/>
      <c r="Y47" s="2885"/>
      <c r="Z47" s="2885"/>
      <c r="AA47" s="2885"/>
      <c r="AB47" s="2885"/>
      <c r="AC47" s="2886"/>
      <c r="AD47" s="2884"/>
      <c r="AE47" s="2885"/>
      <c r="AF47" s="2885"/>
      <c r="AG47" s="2885"/>
      <c r="AH47" s="2885"/>
      <c r="AI47" s="2885"/>
      <c r="AJ47" s="2885"/>
      <c r="AK47" s="2885"/>
      <c r="AL47" s="2886"/>
      <c r="AM47" s="1185" t="s">
        <v>450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75" customHeight="1">
      <c r="A48" s="1194" t="s">
        <v>257</v>
      </c>
      <c r="B48" s="1194" t="s">
        <v>258</v>
      </c>
      <c r="C48" s="1194" t="s">
        <v>259</v>
      </c>
      <c r="D48" s="1194" t="s">
        <v>260</v>
      </c>
      <c r="E48" s="2924"/>
      <c r="F48" s="2924"/>
      <c r="G48" s="2924"/>
      <c r="H48" s="2924"/>
      <c r="I48" s="2740"/>
      <c r="J48" s="2758" t="str">
        <f>I47&amp;".1"</f>
        <v>....1.1</v>
      </c>
      <c r="K48" s="1194"/>
      <c r="L48" s="1237" t="s">
        <v>451</v>
      </c>
      <c r="P48" s="2900"/>
      <c r="Q48" s="2900">
        <v>1</v>
      </c>
      <c r="R48" s="294"/>
      <c r="S48" s="1880" t="str">
        <f>$J48</f>
        <v>....1.1</v>
      </c>
      <c r="T48" s="224" t="s">
        <v>452</v>
      </c>
      <c r="U48" s="238"/>
      <c r="V48" s="2884"/>
      <c r="W48" s="2885"/>
      <c r="X48" s="2885"/>
      <c r="Y48" s="2885"/>
      <c r="Z48" s="2885"/>
      <c r="AA48" s="2885"/>
      <c r="AB48" s="2885"/>
      <c r="AC48" s="2886"/>
      <c r="AD48" s="2884"/>
      <c r="AE48" s="2885"/>
      <c r="AF48" s="2885"/>
      <c r="AG48" s="2885"/>
      <c r="AH48" s="2885"/>
      <c r="AI48" s="2885"/>
      <c r="AJ48" s="2885"/>
      <c r="AK48" s="2885"/>
      <c r="AL48" s="2886"/>
      <c r="AM48" s="1185" t="s">
        <v>453</v>
      </c>
      <c r="AO48" s="1551"/>
      <c r="AP48" s="1551" t="str">
        <f t="shared" si="1"/>
        <v>Группа потребителей</v>
      </c>
      <c r="AQ48" s="1551"/>
      <c r="AR48" s="1551"/>
      <c r="AS48" s="1558">
        <v>21</v>
      </c>
    </row>
    <row r="49" spans="1:45" ht="21.75" customHeight="1">
      <c r="A49" s="1194" t="s">
        <v>257</v>
      </c>
      <c r="B49" s="1194" t="s">
        <v>258</v>
      </c>
      <c r="C49" s="1194" t="s">
        <v>259</v>
      </c>
      <c r="D49" s="1194" t="s">
        <v>260</v>
      </c>
      <c r="E49" s="2924"/>
      <c r="F49" s="2924"/>
      <c r="G49" s="2924"/>
      <c r="H49" s="2924"/>
      <c r="I49" s="2740"/>
      <c r="J49" s="2740"/>
      <c r="K49" s="2758" t="str">
        <f>J48&amp;".1"</f>
        <v>....1.1.1</v>
      </c>
      <c r="L49" s="1237" t="s">
        <v>454</v>
      </c>
      <c r="P49" s="2900"/>
      <c r="Q49" s="2900"/>
      <c r="R49" s="294">
        <v>1</v>
      </c>
      <c r="S49" s="1880" t="str">
        <f>$K49</f>
        <v>....1.1.1</v>
      </c>
      <c r="T49" s="1274"/>
      <c r="U49" s="238"/>
      <c r="V49" s="688"/>
      <c r="W49" s="263"/>
      <c r="X49" s="688"/>
      <c r="Y49" s="1184"/>
      <c r="Z49" s="2901"/>
      <c r="AA49" s="2768" t="s">
        <v>71</v>
      </c>
      <c r="AB49" s="2901"/>
      <c r="AC49" s="2768" t="s">
        <v>71</v>
      </c>
      <c r="AD49" s="688"/>
      <c r="AE49" s="263"/>
      <c r="AF49" s="688"/>
      <c r="AG49" s="1184"/>
      <c r="AH49" s="2901"/>
      <c r="AI49" s="2768" t="s">
        <v>71</v>
      </c>
      <c r="AJ49" s="2903"/>
      <c r="AK49" s="2768" t="s">
        <v>71</v>
      </c>
      <c r="AL49" s="1275"/>
      <c r="AM49" s="2919" t="s">
        <v>455</v>
      </c>
      <c r="AN49" s="1563" t="e">
        <f ca="1">STRCHECKDATE(V50:AL50)</f>
        <v>#NAME?</v>
      </c>
      <c r="AO49" s="1551"/>
      <c r="AP49" s="1551" t="str">
        <f t="shared" si="1"/>
        <v/>
      </c>
      <c r="AQ49" s="1551"/>
      <c r="AR49" s="1551"/>
      <c r="AS49" s="1558">
        <v>21</v>
      </c>
    </row>
    <row r="50" spans="1:45" ht="0.75" customHeight="1">
      <c r="A50" s="1194" t="s">
        <v>257</v>
      </c>
      <c r="B50" s="1194" t="s">
        <v>258</v>
      </c>
      <c r="C50" s="1194" t="s">
        <v>259</v>
      </c>
      <c r="D50" s="1194" t="s">
        <v>260</v>
      </c>
      <c r="E50" s="2924"/>
      <c r="F50" s="2924"/>
      <c r="G50" s="2924"/>
      <c r="H50" s="2924"/>
      <c r="I50" s="2740"/>
      <c r="J50" s="2740"/>
      <c r="K50" s="2758"/>
      <c r="L50" s="1237"/>
      <c r="P50" s="2900"/>
      <c r="Q50" s="2900"/>
      <c r="R50" s="294"/>
      <c r="S50" s="1889"/>
      <c r="T50" s="238"/>
      <c r="U50" s="238"/>
      <c r="V50" s="263"/>
      <c r="W50" s="263"/>
      <c r="X50" s="263"/>
      <c r="Y50" s="266" t="str">
        <f>Z49&amp;"-"&amp;AB49</f>
        <v>-</v>
      </c>
      <c r="Z50" s="2902"/>
      <c r="AA50" s="2768"/>
      <c r="AB50" s="2902"/>
      <c r="AC50" s="2768"/>
      <c r="AD50" s="263"/>
      <c r="AE50" s="263"/>
      <c r="AF50" s="263"/>
      <c r="AG50" s="266" t="str">
        <f>AH49&amp;"-"&amp;AJ49</f>
        <v>-</v>
      </c>
      <c r="AH50" s="2902"/>
      <c r="AI50" s="2768"/>
      <c r="AJ50" s="2904"/>
      <c r="AK50" s="2768"/>
      <c r="AL50" s="1276"/>
      <c r="AM50" s="2920"/>
      <c r="AO50" s="1551"/>
      <c r="AP50" s="1551" t="str">
        <f t="shared" si="1"/>
        <v/>
      </c>
      <c r="AQ50" s="1551"/>
      <c r="AR50" s="1551"/>
      <c r="AS50" s="1558">
        <v>1</v>
      </c>
    </row>
    <row r="51" spans="1:45" ht="11.25" customHeight="1">
      <c r="A51" s="1194" t="s">
        <v>257</v>
      </c>
      <c r="B51" s="1194" t="s">
        <v>258</v>
      </c>
      <c r="C51" s="1194" t="s">
        <v>259</v>
      </c>
      <c r="D51" s="1194" t="s">
        <v>260</v>
      </c>
      <c r="E51" s="2924"/>
      <c r="F51" s="2924"/>
      <c r="G51" s="2924"/>
      <c r="H51" s="2924"/>
      <c r="I51" s="2740"/>
      <c r="J51" s="2758"/>
      <c r="K51" s="1194"/>
      <c r="L51" s="1237"/>
      <c r="P51" s="2900"/>
      <c r="Q51" s="2900"/>
      <c r="R51" s="293"/>
      <c r="S51" s="1205"/>
      <c r="T51" s="226" t="s">
        <v>456</v>
      </c>
      <c r="U51" s="537"/>
      <c r="V51" s="537"/>
      <c r="W51" s="537"/>
      <c r="X51" s="537"/>
      <c r="Y51" s="537"/>
      <c r="Z51" s="537"/>
      <c r="AA51" s="537"/>
      <c r="AB51" s="537"/>
      <c r="AC51" s="537"/>
      <c r="AD51" s="537"/>
      <c r="AE51" s="537"/>
      <c r="AF51" s="537"/>
      <c r="AG51" s="537"/>
      <c r="AH51" s="537"/>
      <c r="AI51" s="537"/>
      <c r="AJ51" s="537"/>
      <c r="AK51" s="537"/>
      <c r="AL51" s="262"/>
      <c r="AM51" s="2921"/>
      <c r="AO51" s="1551"/>
      <c r="AP51" s="1551" t="str">
        <f t="shared" si="1"/>
        <v>Добавить вид теплоносителя (параметры теплоносителя)</v>
      </c>
      <c r="AQ51" s="1551"/>
      <c r="AR51" s="1551"/>
      <c r="AS51" s="1558">
        <v>11</v>
      </c>
    </row>
    <row r="52" spans="1:45" ht="11.25" customHeight="1">
      <c r="A52" s="1194" t="s">
        <v>257</v>
      </c>
      <c r="B52" s="1194" t="s">
        <v>258</v>
      </c>
      <c r="C52" s="1194" t="s">
        <v>259</v>
      </c>
      <c r="D52" s="1194" t="s">
        <v>260</v>
      </c>
      <c r="E52" s="2924"/>
      <c r="F52" s="2924"/>
      <c r="G52" s="2924"/>
      <c r="H52" s="2924"/>
      <c r="I52" s="2758"/>
      <c r="J52" s="1194"/>
      <c r="K52" s="1194"/>
      <c r="L52" s="1237"/>
      <c r="P52" s="2900"/>
      <c r="Q52" s="1876"/>
      <c r="R52" s="293"/>
      <c r="S52" s="1205"/>
      <c r="T52" s="225" t="s">
        <v>457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5" customHeight="1">
      <c r="A53" s="1194" t="s">
        <v>257</v>
      </c>
      <c r="B53" s="1194" t="s">
        <v>258</v>
      </c>
      <c r="C53" s="1194" t="s">
        <v>259</v>
      </c>
      <c r="D53" s="1194" t="s">
        <v>260</v>
      </c>
      <c r="E53" s="2924"/>
      <c r="F53" s="2924"/>
      <c r="G53" s="2924"/>
      <c r="H53" s="2923"/>
      <c r="I53" s="1194"/>
      <c r="J53" s="1194"/>
      <c r="K53" s="1194"/>
      <c r="L53" s="1237"/>
      <c r="M53" s="1537"/>
      <c r="N53" s="1537"/>
      <c r="O53" s="1562"/>
      <c r="P53" s="297"/>
      <c r="Q53" s="312"/>
      <c r="R53" s="292"/>
      <c r="S53" s="1205"/>
      <c r="T53" s="302" t="s">
        <v>458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4.5" customHeight="1">
      <c r="A54" s="1302" t="s">
        <v>257</v>
      </c>
      <c r="B54" s="1302" t="s">
        <v>258</v>
      </c>
      <c r="C54" s="1302" t="s">
        <v>259</v>
      </c>
      <c r="D54" s="1301"/>
      <c r="E54" s="2924"/>
      <c r="F54" s="2924"/>
      <c r="G54" s="2923"/>
      <c r="H54" s="1301"/>
      <c r="I54" s="1301"/>
      <c r="J54" s="1301"/>
      <c r="K54" s="1301"/>
      <c r="L54" s="1304"/>
      <c r="M54" s="1305"/>
      <c r="N54" s="1305"/>
      <c r="O54" s="288"/>
      <c r="P54" s="1243"/>
      <c r="Q54" s="1244"/>
      <c r="R54" s="1243"/>
      <c r="S54" s="1249"/>
      <c r="T54" s="1252" t="s">
        <v>174</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4</v>
      </c>
    </row>
    <row r="55" spans="1:45" s="1569" customFormat="1" ht="4.5" customHeight="1">
      <c r="A55" s="1302" t="s">
        <v>257</v>
      </c>
      <c r="B55" s="1302" t="s">
        <v>258</v>
      </c>
      <c r="C55" s="1301"/>
      <c r="D55" s="1301"/>
      <c r="E55" s="2924"/>
      <c r="F55" s="2923"/>
      <c r="G55" s="1301"/>
      <c r="H55" s="1301"/>
      <c r="I55" s="1301"/>
      <c r="J55" s="1301"/>
      <c r="K55" s="1301"/>
      <c r="L55" s="1304"/>
      <c r="M55" s="1306"/>
      <c r="N55" s="1306"/>
      <c r="O55" s="288"/>
      <c r="P55" s="1243"/>
      <c r="Q55" s="1244"/>
      <c r="R55" s="1243"/>
      <c r="S55" s="1249"/>
      <c r="T55" s="1252" t="s">
        <v>176</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4</v>
      </c>
    </row>
    <row r="56" spans="1:45" s="1569" customFormat="1" ht="4.5" customHeight="1">
      <c r="A56" s="1302" t="s">
        <v>257</v>
      </c>
      <c r="B56" s="1302"/>
      <c r="C56" s="1302"/>
      <c r="D56" s="1302"/>
      <c r="E56" s="2923"/>
      <c r="F56" s="1302"/>
      <c r="G56" s="1302"/>
      <c r="H56" s="1302"/>
      <c r="I56" s="1302"/>
      <c r="J56" s="1302"/>
      <c r="K56" s="1302"/>
      <c r="L56" s="1308"/>
      <c r="M56" s="1306"/>
      <c r="N56" s="1306"/>
      <c r="O56" s="288"/>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4</v>
      </c>
    </row>
    <row r="57" spans="1:45" s="1569" customFormat="1" ht="4.5" customHeight="1">
      <c r="A57" s="1301"/>
      <c r="B57" s="1301"/>
      <c r="C57" s="1301"/>
      <c r="D57" s="1301"/>
      <c r="E57" s="1302"/>
      <c r="F57" s="1301"/>
      <c r="G57" s="1301"/>
      <c r="H57" s="1301"/>
      <c r="I57" s="1301"/>
      <c r="J57" s="1301"/>
      <c r="K57" s="1301"/>
      <c r="L57" s="1304"/>
      <c r="M57" s="1306"/>
      <c r="N57" s="1306"/>
      <c r="O57" s="288"/>
      <c r="P57" s="1243"/>
      <c r="Q57" s="1244"/>
      <c r="R57" s="1243"/>
      <c r="S57" s="1249"/>
      <c r="T57" s="1252" t="s">
        <v>212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4</v>
      </c>
    </row>
    <row r="58" spans="1:45" ht="11.25" customHeight="1">
      <c r="M58" s="1558"/>
      <c r="N58" s="1558"/>
      <c r="O58" s="1562"/>
      <c r="P58" s="1558"/>
      <c r="Q58" s="1558"/>
      <c r="R58" s="1558"/>
      <c r="S58" s="1558"/>
      <c r="AN58" s="1558"/>
      <c r="AO58" s="1558"/>
      <c r="AP58" s="1558"/>
      <c r="AQ58" s="1558"/>
      <c r="AR58" s="1558"/>
      <c r="AS58" s="1558">
        <v>11</v>
      </c>
    </row>
    <row r="59" spans="1:45" ht="28.5" customHeight="1">
      <c r="O59" s="1562"/>
      <c r="S59" s="1180"/>
      <c r="T59" s="2895"/>
      <c r="U59" s="2895"/>
      <c r="V59" s="2895"/>
      <c r="W59" s="2895"/>
      <c r="X59" s="2895"/>
      <c r="Y59" s="2895"/>
      <c r="Z59" s="2895"/>
      <c r="AA59" s="2895"/>
      <c r="AB59" s="2895"/>
      <c r="AC59" s="2895"/>
      <c r="AD59" s="2895"/>
      <c r="AE59" s="2895"/>
      <c r="AF59" s="2895"/>
      <c r="AG59" s="2895"/>
      <c r="AH59" s="2895"/>
      <c r="AI59" s="2895"/>
      <c r="AJ59" s="2895"/>
      <c r="AK59" s="2895"/>
      <c r="AL59" s="2895"/>
      <c r="AM59" s="2895"/>
      <c r="AS59" s="1558">
        <v>27</v>
      </c>
    </row>
    <row r="60" spans="1:45" ht="65.25" customHeight="1">
      <c r="O60" s="1562"/>
      <c r="T60" s="2895"/>
      <c r="U60" s="2895"/>
      <c r="V60" s="2895"/>
      <c r="W60" s="2895"/>
      <c r="X60" s="2895"/>
      <c r="Y60" s="2895"/>
      <c r="Z60" s="2895"/>
      <c r="AA60" s="2895"/>
      <c r="AB60" s="2895"/>
      <c r="AC60" s="2895"/>
      <c r="AD60" s="2895"/>
      <c r="AE60" s="2895"/>
      <c r="AF60" s="2895"/>
      <c r="AG60" s="2895"/>
      <c r="AH60" s="2895"/>
      <c r="AI60" s="2895"/>
      <c r="AJ60" s="2895"/>
      <c r="AK60" s="2895"/>
      <c r="AL60" s="2895"/>
      <c r="AM60" s="2895"/>
      <c r="AS60" s="1558">
        <v>62</v>
      </c>
    </row>
    <row r="61" spans="1:45" ht="15" customHeight="1">
      <c r="O61" s="1562"/>
      <c r="AS61" s="1558">
        <v>14</v>
      </c>
    </row>
    <row r="62" spans="1:45" ht="18.75" customHeight="1">
      <c r="O62" s="1562"/>
      <c r="S62" s="1180"/>
      <c r="T62" s="2895"/>
      <c r="U62" s="2895"/>
      <c r="V62" s="2895"/>
      <c r="W62" s="2895"/>
      <c r="X62" s="2895"/>
      <c r="Y62" s="2895"/>
      <c r="Z62" s="2895"/>
      <c r="AA62" s="2895"/>
      <c r="AB62" s="2895"/>
      <c r="AC62" s="2895"/>
      <c r="AD62" s="2895"/>
      <c r="AE62" s="2895"/>
      <c r="AF62" s="2895"/>
      <c r="AG62" s="2895"/>
      <c r="AH62" s="2895"/>
      <c r="AI62" s="2895"/>
      <c r="AJ62" s="2895"/>
      <c r="AK62" s="2895"/>
      <c r="AL62" s="2895"/>
      <c r="AM62" s="2895"/>
      <c r="AS62" s="1558">
        <v>18</v>
      </c>
    </row>
    <row r="63" spans="1:45" ht="18.75" customHeight="1">
      <c r="O63" s="1562"/>
      <c r="T63" s="2895"/>
      <c r="U63" s="2895"/>
      <c r="V63" s="2895"/>
      <c r="W63" s="2895"/>
      <c r="X63" s="2895"/>
      <c r="Y63" s="2895"/>
      <c r="Z63" s="2895"/>
      <c r="AA63" s="2895"/>
      <c r="AB63" s="2895"/>
      <c r="AC63" s="2895"/>
      <c r="AD63" s="2895"/>
      <c r="AE63" s="2895"/>
      <c r="AF63" s="2895"/>
      <c r="AG63" s="2895"/>
      <c r="AH63" s="2895"/>
      <c r="AI63" s="2895"/>
      <c r="AJ63" s="2895"/>
      <c r="AK63" s="2895"/>
      <c r="AL63" s="2895"/>
      <c r="AM63" s="2895"/>
      <c r="AS63" s="1558">
        <v>18</v>
      </c>
    </row>
    <row r="64" spans="1:45" ht="29.25" customHeight="1">
      <c r="O64" s="1562"/>
      <c r="S64" s="1180"/>
      <c r="T64" s="2895"/>
      <c r="U64" s="2895"/>
      <c r="V64" s="2895"/>
      <c r="W64" s="2895"/>
      <c r="X64" s="2895"/>
      <c r="Y64" s="2895"/>
      <c r="Z64" s="2895"/>
      <c r="AA64" s="2895"/>
      <c r="AB64" s="2895"/>
      <c r="AC64" s="2895"/>
      <c r="AD64" s="2895"/>
      <c r="AE64" s="2895"/>
      <c r="AF64" s="2895"/>
      <c r="AG64" s="2895"/>
      <c r="AH64" s="2895"/>
      <c r="AI64" s="2895"/>
      <c r="AJ64" s="2895"/>
      <c r="AK64" s="2895"/>
      <c r="AL64" s="2895"/>
      <c r="AM64" s="2895"/>
      <c r="AS64" s="1558">
        <v>28</v>
      </c>
    </row>
    <row r="65" spans="1:45" ht="22.5" hidden="1" customHeight="1">
      <c r="A65" s="1558" t="s">
        <v>87</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1" width="11.42578125" style="1562" hidden="1" customWidth="1"/>
    <col min="12" max="12" width="19.140625" style="2000" hidden="1" customWidth="1"/>
    <col min="13" max="14" width="12.28515625" style="2007" hidden="1" customWidth="1"/>
    <col min="15" max="15" width="23.42578125" style="2007" hidden="1" customWidth="1"/>
    <col min="16" max="16" width="3" style="2007"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S1" s="1558" t="s">
        <v>14</v>
      </c>
    </row>
    <row r="2" spans="1:45" ht="21" hidden="1" customHeight="1">
      <c r="A2" s="1194"/>
      <c r="B2" s="1194"/>
      <c r="C2" s="1194"/>
      <c r="D2" s="1194"/>
      <c r="E2" s="2923">
        <v>1</v>
      </c>
      <c r="F2" s="1194"/>
      <c r="G2" s="1194"/>
      <c r="H2" s="1194"/>
      <c r="I2" s="1194"/>
      <c r="J2" s="1194"/>
      <c r="K2" s="1194"/>
      <c r="L2" s="1237"/>
      <c r="M2" s="1537"/>
      <c r="N2" s="1537"/>
      <c r="O2" s="1537"/>
      <c r="P2" s="1517"/>
      <c r="Q2" s="297"/>
      <c r="R2" s="292"/>
      <c r="S2" s="1880" t="e">
        <f>INDEX(PT_DIFFERENTIATION_NUM_NTAR,MATCH(A2,PT_DIFFERENTIATION_NTAR_ID,0))</f>
        <v>#N/A</v>
      </c>
      <c r="T2" s="1452" t="s">
        <v>128</v>
      </c>
      <c r="U2" s="238"/>
      <c r="V2" s="2890"/>
      <c r="W2" s="2891"/>
      <c r="X2" s="2891"/>
      <c r="Y2" s="2891"/>
      <c r="Z2" s="2891"/>
      <c r="AA2" s="2891"/>
      <c r="AB2" s="2891"/>
      <c r="AC2" s="2892"/>
      <c r="AD2" s="2890" t="e">
        <f>INDEX(PT_DIFFERENTIATION_NTAR,MATCH(A2,PT_DIFFERENTIATION_NTAR_ID,0))</f>
        <v>#N/A</v>
      </c>
      <c r="AE2" s="2891"/>
      <c r="AF2" s="2891"/>
      <c r="AG2" s="2891"/>
      <c r="AH2" s="2891"/>
      <c r="AI2" s="2891"/>
      <c r="AJ2" s="2891"/>
      <c r="AK2" s="2891"/>
      <c r="AL2" s="2892"/>
      <c r="AM2" s="1185" t="s">
        <v>441</v>
      </c>
      <c r="AO2" s="1551"/>
      <c r="AP2" s="1551" t="str">
        <f t="shared" ref="AP2:AP15" si="0">IF(T2="","",T2)</f>
        <v>Наименование тарифа</v>
      </c>
      <c r="AQ2" s="1551"/>
      <c r="AR2" s="1551"/>
      <c r="AS2" s="1558">
        <v>0</v>
      </c>
    </row>
    <row r="3" spans="1:45" ht="21" hidden="1" customHeight="1">
      <c r="A3" s="1194"/>
      <c r="B3" s="1194"/>
      <c r="C3" s="1194"/>
      <c r="D3" s="1194"/>
      <c r="E3" s="2924"/>
      <c r="F3" s="2923">
        <v>1</v>
      </c>
      <c r="G3" s="1194"/>
      <c r="H3" s="1194"/>
      <c r="I3" s="1194"/>
      <c r="J3" s="1194"/>
      <c r="K3" s="1194"/>
      <c r="L3" s="1237"/>
      <c r="M3" s="1537"/>
      <c r="N3" s="1537"/>
      <c r="O3" s="1537"/>
      <c r="P3" s="1862"/>
      <c r="Q3" s="289"/>
      <c r="R3" s="290"/>
      <c r="S3" s="1880" t="e">
        <f>INDEX(PT_DIFFERENTIATION_NUM_TER,MATCH(B3,PT_DIFFERENTIATION_TER_ID,0))</f>
        <v>#N/A</v>
      </c>
      <c r="T3" s="1449" t="s">
        <v>442</v>
      </c>
      <c r="U3" s="238"/>
      <c r="V3" s="2890"/>
      <c r="W3" s="2891"/>
      <c r="X3" s="2891"/>
      <c r="Y3" s="2891"/>
      <c r="Z3" s="2891"/>
      <c r="AA3" s="2891"/>
      <c r="AB3" s="2891"/>
      <c r="AC3" s="2892"/>
      <c r="AD3" s="2890" t="e">
        <f>INDEX(PT_DIFFERENTIATION_TER,MATCH(B3,PT_DIFFERENTIATION_TER_ID,0))</f>
        <v>#N/A</v>
      </c>
      <c r="AE3" s="2891"/>
      <c r="AF3" s="2891"/>
      <c r="AG3" s="2891"/>
      <c r="AH3" s="2891"/>
      <c r="AI3" s="2891"/>
      <c r="AJ3" s="2891"/>
      <c r="AK3" s="2891"/>
      <c r="AL3" s="2892"/>
      <c r="AM3" s="1185" t="s">
        <v>443</v>
      </c>
      <c r="AO3" s="1551"/>
      <c r="AP3" s="1551" t="str">
        <f t="shared" si="0"/>
        <v>Территория действия тарифа</v>
      </c>
      <c r="AQ3" s="1551"/>
      <c r="AR3" s="1551"/>
      <c r="AS3" s="1558">
        <v>0</v>
      </c>
    </row>
    <row r="4" spans="1:45" ht="23.25" hidden="1" customHeight="1">
      <c r="A4" s="1194"/>
      <c r="B4" s="1194"/>
      <c r="C4" s="1194"/>
      <c r="D4" s="1194"/>
      <c r="E4" s="2924"/>
      <c r="F4" s="2924"/>
      <c r="G4" s="2923">
        <v>1</v>
      </c>
      <c r="H4" s="1194"/>
      <c r="I4" s="1194"/>
      <c r="J4" s="1194"/>
      <c r="K4" s="1194"/>
      <c r="L4" s="1237"/>
      <c r="M4" s="1537"/>
      <c r="N4" s="1537"/>
      <c r="O4" s="1537"/>
      <c r="P4" s="291"/>
      <c r="Q4" s="289"/>
      <c r="R4" s="290"/>
      <c r="S4" s="1880" t="e">
        <f>INDEX(PT_DIFFERENTIATION_NUM_CS,MATCH(C4,PT_DIFFERENTIATION_CS_ID,0))</f>
        <v>#N/A</v>
      </c>
      <c r="T4" s="247" t="s">
        <v>444</v>
      </c>
      <c r="U4" s="238"/>
      <c r="V4" s="2890"/>
      <c r="W4" s="2891"/>
      <c r="X4" s="2891"/>
      <c r="Y4" s="2891"/>
      <c r="Z4" s="2891"/>
      <c r="AA4" s="2891"/>
      <c r="AB4" s="2891"/>
      <c r="AC4" s="2892"/>
      <c r="AD4" s="2890" t="e">
        <f>INDEX(PT_DIFFERENTIATION_CS,MATCH(C4,PT_DIFFERENTIATION_CS_ID,0))</f>
        <v>#N/A</v>
      </c>
      <c r="AE4" s="2891"/>
      <c r="AF4" s="2891"/>
      <c r="AG4" s="2891"/>
      <c r="AH4" s="2891"/>
      <c r="AI4" s="2891"/>
      <c r="AJ4" s="2891"/>
      <c r="AK4" s="2891"/>
      <c r="AL4" s="2892"/>
      <c r="AM4" s="1185" t="s">
        <v>445</v>
      </c>
      <c r="AO4" s="1551"/>
      <c r="AP4" s="1551" t="str">
        <f t="shared" si="0"/>
        <v xml:space="preserve">Наименование системы теплоснабжения </v>
      </c>
      <c r="AQ4" s="1551"/>
      <c r="AR4" s="1551"/>
      <c r="AS4" s="1558">
        <v>0</v>
      </c>
    </row>
    <row r="5" spans="1:45" ht="21" hidden="1" customHeight="1">
      <c r="A5" s="1194"/>
      <c r="B5" s="1194"/>
      <c r="C5" s="1194"/>
      <c r="D5" s="1194"/>
      <c r="E5" s="2924"/>
      <c r="F5" s="2924"/>
      <c r="G5" s="2924"/>
      <c r="H5" s="2923">
        <v>1</v>
      </c>
      <c r="I5" s="1194"/>
      <c r="J5" s="1194"/>
      <c r="K5" s="1194"/>
      <c r="L5" s="1237"/>
      <c r="M5" s="1537"/>
      <c r="N5" s="1537"/>
      <c r="O5" s="1537"/>
      <c r="P5" s="291"/>
      <c r="Q5" s="289"/>
      <c r="R5" s="290"/>
      <c r="S5" s="1880" t="e">
        <f>INDEX(PT_DIFFERENTIATION_NUM_IST_TE,MATCH(D5,PT_DIFFERENTIATION_IST_TE_ID,0))</f>
        <v>#N/A</v>
      </c>
      <c r="T5" s="248" t="s">
        <v>446</v>
      </c>
      <c r="U5" s="238"/>
      <c r="V5" s="2890"/>
      <c r="W5" s="2891"/>
      <c r="X5" s="2891"/>
      <c r="Y5" s="2891"/>
      <c r="Z5" s="2891"/>
      <c r="AA5" s="2891"/>
      <c r="AB5" s="2891"/>
      <c r="AC5" s="2892"/>
      <c r="AD5" s="2890" t="e">
        <f>INDEX(PT_DIFFERENTIATION_IST_TE,MATCH(D5,PT_DIFFERENTIATION_IST_TE_ID,0))</f>
        <v>#N/A</v>
      </c>
      <c r="AE5" s="2891"/>
      <c r="AF5" s="2891"/>
      <c r="AG5" s="2891"/>
      <c r="AH5" s="2891"/>
      <c r="AI5" s="2891"/>
      <c r="AJ5" s="2891"/>
      <c r="AK5" s="2891"/>
      <c r="AL5" s="2892"/>
      <c r="AM5" s="1185" t="s">
        <v>447</v>
      </c>
      <c r="AO5" s="1551"/>
      <c r="AP5" s="1551" t="str">
        <f t="shared" si="0"/>
        <v xml:space="preserve">Источник тепловой энергии  </v>
      </c>
      <c r="AQ5" s="1551"/>
      <c r="AR5" s="1551"/>
      <c r="AS5" s="1558">
        <v>0</v>
      </c>
    </row>
    <row r="6" spans="1:45" ht="47.25" hidden="1" customHeight="1">
      <c r="A6" s="1194"/>
      <c r="B6" s="1194"/>
      <c r="C6" s="1194"/>
      <c r="D6" s="1194"/>
      <c r="E6" s="2924"/>
      <c r="F6" s="2924"/>
      <c r="G6" s="2924"/>
      <c r="H6" s="2924"/>
      <c r="I6" s="2758" t="e">
        <f>S5&amp;".1"</f>
        <v>#N/A</v>
      </c>
      <c r="J6" s="1194"/>
      <c r="K6" s="1194"/>
      <c r="L6" s="1237" t="s">
        <v>448</v>
      </c>
      <c r="M6" s="1562"/>
      <c r="P6" s="2900">
        <v>1</v>
      </c>
      <c r="Q6" s="1876"/>
      <c r="R6" s="293"/>
      <c r="S6" s="1880" t="e">
        <f>$I6</f>
        <v>#N/A</v>
      </c>
      <c r="T6" s="223" t="s">
        <v>449</v>
      </c>
      <c r="U6" s="238"/>
      <c r="V6" s="2884"/>
      <c r="W6" s="2885"/>
      <c r="X6" s="2885"/>
      <c r="Y6" s="2885"/>
      <c r="Z6" s="2885"/>
      <c r="AA6" s="2885"/>
      <c r="AB6" s="2885"/>
      <c r="AC6" s="2886"/>
      <c r="AD6" s="2884"/>
      <c r="AE6" s="2885"/>
      <c r="AF6" s="2885"/>
      <c r="AG6" s="2885"/>
      <c r="AH6" s="2885"/>
      <c r="AI6" s="2885"/>
      <c r="AJ6" s="2885"/>
      <c r="AK6" s="2885"/>
      <c r="AL6" s="2886"/>
      <c r="AM6" s="1185" t="s">
        <v>450</v>
      </c>
      <c r="AO6" s="1551"/>
      <c r="AP6" s="1551" t="str">
        <f t="shared" si="0"/>
        <v>Схема подключения теплопотребляющей установки к коллектору источника тепловой энергии</v>
      </c>
      <c r="AQ6" s="1551"/>
      <c r="AR6" s="1551"/>
      <c r="AS6" s="1558">
        <v>0</v>
      </c>
    </row>
    <row r="7" spans="1:45" ht="21" hidden="1" customHeight="1">
      <c r="A7" s="1194"/>
      <c r="B7" s="1194"/>
      <c r="C7" s="1194"/>
      <c r="D7" s="1194"/>
      <c r="E7" s="2924"/>
      <c r="F7" s="2924"/>
      <c r="G7" s="2924"/>
      <c r="H7" s="2924"/>
      <c r="I7" s="2740"/>
      <c r="J7" s="2758" t="e">
        <f>I6&amp;".1"</f>
        <v>#N/A</v>
      </c>
      <c r="K7" s="1194"/>
      <c r="L7" s="1237" t="s">
        <v>451</v>
      </c>
      <c r="M7" s="1562"/>
      <c r="N7" s="1558"/>
      <c r="P7" s="2900"/>
      <c r="Q7" s="2900">
        <v>1</v>
      </c>
      <c r="R7" s="294"/>
      <c r="S7" s="1880" t="e">
        <f>$J7</f>
        <v>#N/A</v>
      </c>
      <c r="T7" s="224" t="s">
        <v>452</v>
      </c>
      <c r="U7" s="238"/>
      <c r="V7" s="2884"/>
      <c r="W7" s="2885"/>
      <c r="X7" s="2885"/>
      <c r="Y7" s="2885"/>
      <c r="Z7" s="2885"/>
      <c r="AA7" s="2885"/>
      <c r="AB7" s="2885"/>
      <c r="AC7" s="2886"/>
      <c r="AD7" s="2884"/>
      <c r="AE7" s="2885"/>
      <c r="AF7" s="2885"/>
      <c r="AG7" s="2885"/>
      <c r="AH7" s="2885"/>
      <c r="AI7" s="2885"/>
      <c r="AJ7" s="2885"/>
      <c r="AK7" s="2885"/>
      <c r="AL7" s="2886"/>
      <c r="AM7" s="1185" t="s">
        <v>453</v>
      </c>
      <c r="AO7" s="1551"/>
      <c r="AP7" s="1551" t="str">
        <f t="shared" si="0"/>
        <v>Группа потребителей</v>
      </c>
      <c r="AQ7" s="1551"/>
      <c r="AR7" s="1551"/>
      <c r="AS7" s="1558">
        <v>0</v>
      </c>
    </row>
    <row r="8" spans="1:45" ht="21" hidden="1" customHeight="1">
      <c r="A8" s="1194"/>
      <c r="B8" s="1194"/>
      <c r="C8" s="1194"/>
      <c r="D8" s="1194"/>
      <c r="E8" s="2924"/>
      <c r="F8" s="2924"/>
      <c r="G8" s="2924"/>
      <c r="H8" s="2924"/>
      <c r="I8" s="2740"/>
      <c r="J8" s="2740"/>
      <c r="K8" s="2758" t="e">
        <f>J7&amp;".1"</f>
        <v>#N/A</v>
      </c>
      <c r="L8" s="1237" t="s">
        <v>454</v>
      </c>
      <c r="M8" s="1562"/>
      <c r="N8" s="1558"/>
      <c r="O8" s="1558"/>
      <c r="P8" s="2900"/>
      <c r="Q8" s="2900"/>
      <c r="R8" s="294">
        <v>1</v>
      </c>
      <c r="S8" s="1880" t="e">
        <f>$K8</f>
        <v>#N/A</v>
      </c>
      <c r="T8" s="1274"/>
      <c r="U8" s="238"/>
      <c r="V8" s="688"/>
      <c r="W8" s="263"/>
      <c r="X8" s="688"/>
      <c r="Y8" s="1184"/>
      <c r="Z8" s="2901"/>
      <c r="AA8" s="2768" t="s">
        <v>71</v>
      </c>
      <c r="AB8" s="2901"/>
      <c r="AC8" s="2768" t="s">
        <v>71</v>
      </c>
      <c r="AD8" s="688"/>
      <c r="AE8" s="263"/>
      <c r="AF8" s="688"/>
      <c r="AG8" s="1184"/>
      <c r="AH8" s="2901"/>
      <c r="AI8" s="2768" t="s">
        <v>71</v>
      </c>
      <c r="AJ8" s="2901"/>
      <c r="AK8" s="2768" t="s">
        <v>71</v>
      </c>
      <c r="AL8" s="263"/>
      <c r="AM8" s="2919" t="s">
        <v>455</v>
      </c>
      <c r="AN8" s="1563" t="e">
        <f ca="1">STRCHECKDATE(V9:AL9)</f>
        <v>#NAME?</v>
      </c>
      <c r="AO8" s="1551"/>
      <c r="AP8" s="1551" t="str">
        <f t="shared" si="0"/>
        <v/>
      </c>
      <c r="AQ8" s="1551"/>
      <c r="AR8" s="1551"/>
      <c r="AS8" s="1558">
        <v>0</v>
      </c>
    </row>
    <row r="9" spans="1:45" ht="0.75" hidden="1" customHeight="1">
      <c r="A9" s="1194"/>
      <c r="B9" s="1194"/>
      <c r="C9" s="1194"/>
      <c r="D9" s="1194"/>
      <c r="E9" s="2924"/>
      <c r="F9" s="2924"/>
      <c r="G9" s="2924"/>
      <c r="H9" s="2924"/>
      <c r="I9" s="2740"/>
      <c r="J9" s="2740"/>
      <c r="K9" s="2758"/>
      <c r="L9" s="1237"/>
      <c r="M9" s="1562"/>
      <c r="N9" s="1558"/>
      <c r="O9" s="1558"/>
      <c r="P9" s="2900"/>
      <c r="Q9" s="2900"/>
      <c r="R9" s="294"/>
      <c r="S9" s="1889"/>
      <c r="T9" s="238"/>
      <c r="U9" s="238"/>
      <c r="V9" s="263"/>
      <c r="W9" s="263"/>
      <c r="X9" s="263"/>
      <c r="Y9" s="266" t="str">
        <f>Z8&amp;"-"&amp;AB8</f>
        <v>-</v>
      </c>
      <c r="Z9" s="2902"/>
      <c r="AA9" s="2768"/>
      <c r="AB9" s="2902"/>
      <c r="AC9" s="2768"/>
      <c r="AD9" s="263"/>
      <c r="AE9" s="263"/>
      <c r="AF9" s="263"/>
      <c r="AG9" s="266" t="str">
        <f>AH8&amp;"-"&amp;AJ8</f>
        <v>-</v>
      </c>
      <c r="AH9" s="2902"/>
      <c r="AI9" s="2768"/>
      <c r="AJ9" s="2902"/>
      <c r="AK9" s="2768"/>
      <c r="AL9" s="263"/>
      <c r="AM9" s="2920"/>
      <c r="AO9" s="1551"/>
      <c r="AP9" s="1551" t="str">
        <f t="shared" si="0"/>
        <v/>
      </c>
      <c r="AQ9" s="1551"/>
      <c r="AR9" s="1551"/>
      <c r="AS9" s="1558">
        <v>0</v>
      </c>
    </row>
    <row r="10" spans="1:45" ht="15" hidden="1" customHeight="1">
      <c r="A10" s="1194"/>
      <c r="B10" s="1194"/>
      <c r="C10" s="1194"/>
      <c r="D10" s="1194"/>
      <c r="E10" s="2924"/>
      <c r="F10" s="2924"/>
      <c r="G10" s="2924"/>
      <c r="H10" s="2924"/>
      <c r="I10" s="2740"/>
      <c r="J10" s="2758"/>
      <c r="K10" s="1194"/>
      <c r="L10" s="1237"/>
      <c r="M10" s="1562"/>
      <c r="N10" s="1558"/>
      <c r="P10" s="2900"/>
      <c r="Q10" s="2900"/>
      <c r="R10" s="293"/>
      <c r="S10" s="1205"/>
      <c r="T10" s="226" t="s">
        <v>456</v>
      </c>
      <c r="U10" s="537"/>
      <c r="V10" s="537"/>
      <c r="W10" s="537"/>
      <c r="X10" s="537"/>
      <c r="Y10" s="537"/>
      <c r="Z10" s="537"/>
      <c r="AA10" s="537"/>
      <c r="AB10" s="537"/>
      <c r="AC10" s="537"/>
      <c r="AD10" s="537"/>
      <c r="AE10" s="537"/>
      <c r="AF10" s="537"/>
      <c r="AG10" s="537"/>
      <c r="AH10" s="537"/>
      <c r="AI10" s="537"/>
      <c r="AJ10" s="537"/>
      <c r="AK10" s="537"/>
      <c r="AL10" s="262"/>
      <c r="AM10" s="2921"/>
      <c r="AO10" s="1551"/>
      <c r="AP10" s="1551" t="str">
        <f t="shared" si="0"/>
        <v>Добавить вид теплоносителя (параметры теплоносителя)</v>
      </c>
      <c r="AQ10" s="1551"/>
      <c r="AR10" s="1551"/>
      <c r="AS10" s="1558">
        <v>0</v>
      </c>
    </row>
    <row r="11" spans="1:45" ht="15" hidden="1" customHeight="1">
      <c r="A11" s="1194"/>
      <c r="B11" s="1194"/>
      <c r="C11" s="1194"/>
      <c r="D11" s="1194"/>
      <c r="E11" s="2924"/>
      <c r="F11" s="2924"/>
      <c r="G11" s="2924"/>
      <c r="H11" s="2924"/>
      <c r="I11" s="2758"/>
      <c r="J11" s="1194"/>
      <c r="K11" s="1194"/>
      <c r="L11" s="1237"/>
      <c r="M11" s="1562"/>
      <c r="P11" s="2900"/>
      <c r="Q11" s="1876"/>
      <c r="R11" s="293"/>
      <c r="S11" s="1205"/>
      <c r="T11" s="225" t="s">
        <v>457</v>
      </c>
      <c r="U11" s="537"/>
      <c r="V11" s="537"/>
      <c r="W11" s="537"/>
      <c r="X11" s="537"/>
      <c r="Y11" s="537"/>
      <c r="Z11" s="537"/>
      <c r="AA11" s="537"/>
      <c r="AB11" s="537"/>
      <c r="AC11" s="303"/>
      <c r="AD11" s="537"/>
      <c r="AE11" s="537"/>
      <c r="AF11" s="537"/>
      <c r="AG11" s="537"/>
      <c r="AH11" s="537"/>
      <c r="AI11" s="537"/>
      <c r="AJ11" s="537"/>
      <c r="AK11" s="303"/>
      <c r="AL11" s="537"/>
      <c r="AM11" s="241"/>
      <c r="AO11" s="1551"/>
      <c r="AP11" s="1551" t="str">
        <f t="shared" si="0"/>
        <v>Добавить группу потребителей</v>
      </c>
      <c r="AQ11" s="1551"/>
      <c r="AR11" s="1551"/>
      <c r="AS11" s="1558">
        <v>0</v>
      </c>
    </row>
    <row r="12" spans="1:45" ht="14.25" hidden="1" customHeight="1">
      <c r="A12" s="1194"/>
      <c r="B12" s="1194"/>
      <c r="C12" s="1194"/>
      <c r="D12" s="1194"/>
      <c r="E12" s="2924"/>
      <c r="F12" s="2924"/>
      <c r="G12" s="2924"/>
      <c r="H12" s="2923"/>
      <c r="I12" s="1194"/>
      <c r="J12" s="1194"/>
      <c r="K12" s="1194"/>
      <c r="L12" s="1237"/>
      <c r="M12" s="1537"/>
      <c r="N12" s="1537"/>
      <c r="O12" s="1562"/>
      <c r="P12" s="297"/>
      <c r="Q12" s="312"/>
      <c r="R12" s="292"/>
      <c r="S12" s="1205"/>
      <c r="T12" s="302" t="s">
        <v>458</v>
      </c>
      <c r="U12" s="537"/>
      <c r="V12" s="537"/>
      <c r="W12" s="537"/>
      <c r="X12" s="537"/>
      <c r="Y12" s="537"/>
      <c r="Z12" s="537"/>
      <c r="AA12" s="537"/>
      <c r="AB12" s="537"/>
      <c r="AC12" s="303"/>
      <c r="AD12" s="537"/>
      <c r="AE12" s="537"/>
      <c r="AF12" s="537"/>
      <c r="AG12" s="537"/>
      <c r="AH12" s="537"/>
      <c r="AI12" s="537"/>
      <c r="AJ12" s="537"/>
      <c r="AK12" s="303"/>
      <c r="AL12" s="537"/>
      <c r="AM12" s="241"/>
      <c r="AO12" s="1551"/>
      <c r="AP12" s="1551" t="str">
        <f t="shared" si="0"/>
        <v>Добавить схему подключения</v>
      </c>
      <c r="AQ12" s="1551"/>
      <c r="AR12" s="1551"/>
      <c r="AS12" s="1558">
        <v>0</v>
      </c>
    </row>
    <row r="13" spans="1:45" s="1569" customFormat="1" ht="0.75" hidden="1" customHeight="1">
      <c r="A13" s="1896"/>
      <c r="B13" s="1896"/>
      <c r="C13" s="1896"/>
      <c r="D13" s="1896"/>
      <c r="E13" s="2924"/>
      <c r="F13" s="2924"/>
      <c r="G13" s="2923"/>
      <c r="H13" s="1896"/>
      <c r="I13" s="1896"/>
      <c r="J13" s="1896"/>
      <c r="K13" s="1896"/>
      <c r="L13" s="1307"/>
      <c r="M13" s="1537"/>
      <c r="N13" s="1537"/>
      <c r="O13" s="1562"/>
      <c r="P13" s="1243"/>
      <c r="Q13" s="1244"/>
      <c r="R13" s="1243"/>
      <c r="S13" s="1245"/>
      <c r="T13" s="1246" t="s">
        <v>174</v>
      </c>
      <c r="U13" s="1247"/>
      <c r="V13" s="1247"/>
      <c r="W13" s="1247"/>
      <c r="X13" s="1247"/>
      <c r="Y13" s="1247"/>
      <c r="Z13" s="1247"/>
      <c r="AA13" s="1247"/>
      <c r="AB13" s="1247"/>
      <c r="AC13" s="1247"/>
      <c r="AD13" s="1247"/>
      <c r="AE13" s="1247"/>
      <c r="AF13" s="1247"/>
      <c r="AG13" s="1247"/>
      <c r="AH13" s="1247"/>
      <c r="AI13" s="1247"/>
      <c r="AJ13" s="1247"/>
      <c r="AK13" s="1247"/>
      <c r="AL13" s="1247"/>
      <c r="AM13" s="1247"/>
      <c r="AO13" s="1178"/>
      <c r="AP13" s="1178" t="str">
        <f t="shared" si="0"/>
        <v>Добавить источник для дифференциации</v>
      </c>
      <c r="AQ13" s="1178"/>
      <c r="AR13" s="1178"/>
      <c r="AS13" s="1569">
        <v>0</v>
      </c>
    </row>
    <row r="14" spans="1:45" s="1569" customFormat="1" ht="0.75" hidden="1" customHeight="1">
      <c r="A14" s="1896"/>
      <c r="B14" s="1896"/>
      <c r="C14" s="1896"/>
      <c r="D14" s="1896"/>
      <c r="E14" s="2924"/>
      <c r="F14" s="2923"/>
      <c r="G14" s="1896"/>
      <c r="H14" s="1896"/>
      <c r="I14" s="1896"/>
      <c r="J14" s="1896"/>
      <c r="K14" s="1896"/>
      <c r="L14" s="1307"/>
      <c r="M14" s="1897"/>
      <c r="N14" s="1897"/>
      <c r="O14" s="1562"/>
      <c r="P14" s="1243"/>
      <c r="Q14" s="1244"/>
      <c r="R14" s="1243"/>
      <c r="S14" s="1249"/>
      <c r="T14" s="1250" t="s">
        <v>176</v>
      </c>
      <c r="U14" s="1251"/>
      <c r="V14" s="1251"/>
      <c r="W14" s="1251"/>
      <c r="X14" s="1251"/>
      <c r="Y14" s="1251"/>
      <c r="Z14" s="1251"/>
      <c r="AA14" s="1251"/>
      <c r="AB14" s="1251"/>
      <c r="AC14" s="1251"/>
      <c r="AD14" s="1251"/>
      <c r="AE14" s="1251"/>
      <c r="AF14" s="1251"/>
      <c r="AG14" s="1251"/>
      <c r="AH14" s="1251"/>
      <c r="AI14" s="1251"/>
      <c r="AJ14" s="1251"/>
      <c r="AK14" s="1251"/>
      <c r="AL14" s="1251"/>
      <c r="AM14" s="1251"/>
      <c r="AO14" s="1178"/>
      <c r="AP14" s="1178" t="str">
        <f t="shared" si="0"/>
        <v>Добавить централизованную систему для дифференциации</v>
      </c>
      <c r="AQ14" s="1178"/>
      <c r="AR14" s="1178"/>
      <c r="AS14" s="1569">
        <v>0</v>
      </c>
    </row>
    <row r="15" spans="1:45" s="1569" customFormat="1" ht="0.75" hidden="1" customHeight="1">
      <c r="A15" s="1896"/>
      <c r="B15" s="1896"/>
      <c r="C15" s="1896"/>
      <c r="D15" s="1896"/>
      <c r="E15" s="2923"/>
      <c r="F15" s="1896"/>
      <c r="G15" s="1896"/>
      <c r="H15" s="1896"/>
      <c r="I15" s="1896"/>
      <c r="J15" s="1896"/>
      <c r="K15" s="1896"/>
      <c r="L15" s="1307"/>
      <c r="M15" s="1897"/>
      <c r="N15" s="1897"/>
      <c r="O15" s="1562"/>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O15" s="1178"/>
      <c r="AP15" s="1178" t="str">
        <f t="shared" si="0"/>
        <v>Добавить территорию для дифференциации</v>
      </c>
      <c r="AQ15" s="1178"/>
      <c r="AR15" s="1178"/>
      <c r="AS15" s="1569">
        <v>0</v>
      </c>
    </row>
    <row r="16" spans="1:45" ht="14.25" hidden="1" customHeight="1">
      <c r="AS16" s="1558">
        <v>0</v>
      </c>
    </row>
    <row r="17" spans="1:45" ht="14.25" hidden="1" customHeight="1">
      <c r="AD17" s="1287"/>
      <c r="AE17" s="1287"/>
      <c r="AF17" s="1287"/>
      <c r="AG17" s="1288"/>
      <c r="AH17" s="2894"/>
      <c r="AI17" s="2893" t="s">
        <v>71</v>
      </c>
      <c r="AJ17" s="2894"/>
      <c r="AK17" s="2893" t="s">
        <v>71</v>
      </c>
      <c r="AS17" s="1558">
        <v>0</v>
      </c>
    </row>
    <row r="18" spans="1:45" ht="14.25" hidden="1" customHeight="1">
      <c r="AD18" s="1287"/>
      <c r="AE18" s="1287"/>
      <c r="AF18" s="1287"/>
      <c r="AG18" s="266" t="str">
        <f>AH17&amp;"-"&amp;AJ17</f>
        <v>-</v>
      </c>
      <c r="AH18" s="2893"/>
      <c r="AI18" s="2893"/>
      <c r="AJ18" s="2893"/>
      <c r="AK18" s="2893"/>
      <c r="AS18" s="1558">
        <v>0</v>
      </c>
    </row>
    <row r="19" spans="1:45" ht="14.25" hidden="1" customHeight="1">
      <c r="AS19" s="1558">
        <v>0</v>
      </c>
    </row>
    <row r="20" spans="1:45" s="1293" customFormat="1" ht="14.25" hidden="1" customHeight="1">
      <c r="A20" s="1558"/>
      <c r="B20" s="1558"/>
      <c r="C20" s="1558"/>
      <c r="D20" s="1558"/>
      <c r="E20" s="1558"/>
      <c r="F20" s="1558"/>
      <c r="G20" s="1558"/>
      <c r="H20" s="1558"/>
      <c r="I20" s="1558"/>
      <c r="J20" s="1558"/>
      <c r="K20" s="1558"/>
      <c r="L20" s="1861"/>
      <c r="M20" s="1887"/>
      <c r="N20" s="1887"/>
      <c r="O20" s="1272" t="s">
        <v>459</v>
      </c>
      <c r="P20" s="1289"/>
      <c r="Q20" s="1298"/>
      <c r="R20" s="1298"/>
      <c r="S20" s="666"/>
      <c r="Z20" s="1294"/>
      <c r="AB20" s="1294"/>
      <c r="AH20" s="1294"/>
      <c r="AJ20" s="1294"/>
      <c r="AN20" s="1563"/>
      <c r="AO20" s="1563"/>
      <c r="AP20" s="1563"/>
      <c r="AQ20" s="1563"/>
      <c r="AR20" s="1563"/>
      <c r="AS20" s="1293">
        <v>0</v>
      </c>
    </row>
    <row r="21" spans="1:45" s="1293" customFormat="1" ht="14.25" hidden="1" customHeight="1">
      <c r="A21" s="1558"/>
      <c r="B21" s="1558"/>
      <c r="C21" s="1558"/>
      <c r="D21" s="1558"/>
      <c r="E21" s="1558"/>
      <c r="F21" s="1558"/>
      <c r="G21" s="1558"/>
      <c r="H21" s="1558"/>
      <c r="I21" s="1558"/>
      <c r="J21" s="1558"/>
      <c r="K21" s="1558"/>
      <c r="L21" s="1861"/>
      <c r="M21" s="1887"/>
      <c r="N21" s="1887"/>
      <c r="O21" s="1887"/>
      <c r="P21" s="1289"/>
      <c r="Q21" s="1298"/>
      <c r="R21" s="1298"/>
      <c r="S21" s="666"/>
      <c r="AN21" s="1563"/>
      <c r="AO21" s="1563"/>
      <c r="AP21" s="1563"/>
      <c r="AQ21" s="1563"/>
      <c r="AR21" s="1563"/>
      <c r="AS21" s="1293">
        <v>0</v>
      </c>
    </row>
    <row r="22" spans="1:45" s="1293" customFormat="1" ht="14.25" hidden="1" customHeight="1">
      <c r="A22" s="1558"/>
      <c r="B22" s="1558"/>
      <c r="C22" s="1558"/>
      <c r="D22" s="1558"/>
      <c r="E22" s="1558"/>
      <c r="F22" s="1558"/>
      <c r="G22" s="1558"/>
      <c r="H22" s="1558"/>
      <c r="I22" s="1558"/>
      <c r="J22" s="1558"/>
      <c r="K22" s="1558"/>
      <c r="L22" s="1861"/>
      <c r="M22" s="1887"/>
      <c r="N22" s="1887"/>
      <c r="O22" s="1237" t="s">
        <v>460</v>
      </c>
      <c r="P22" s="1289"/>
      <c r="Q22" s="1298"/>
      <c r="R22" s="1298"/>
      <c r="S22" s="666"/>
      <c r="T22" s="1293" t="s">
        <v>461</v>
      </c>
      <c r="AA22" s="532" t="s">
        <v>462</v>
      </c>
      <c r="AC22" s="532" t="s">
        <v>463</v>
      </c>
      <c r="AD22" s="1293" t="s">
        <v>461</v>
      </c>
      <c r="AI22" s="532" t="s">
        <v>464</v>
      </c>
      <c r="AK22" s="532" t="s">
        <v>463</v>
      </c>
      <c r="AN22" s="1563"/>
      <c r="AO22" s="1563"/>
      <c r="AP22" s="1563"/>
      <c r="AQ22" s="1563"/>
      <c r="AR22" s="1563"/>
      <c r="AS22" s="1293">
        <v>0</v>
      </c>
    </row>
    <row r="23" spans="1:45" ht="14.25" hidden="1" customHeight="1">
      <c r="O23" s="1237"/>
      <c r="AS23" s="1558">
        <v>0</v>
      </c>
    </row>
    <row r="24" spans="1:45" ht="14.25" hidden="1" customHeight="1">
      <c r="O24" s="1237"/>
      <c r="AS24" s="1558">
        <v>0</v>
      </c>
    </row>
    <row r="25" spans="1:45" ht="15" customHeight="1">
      <c r="Q25" s="313"/>
      <c r="R25" s="313"/>
      <c r="S25" s="1202"/>
      <c r="T25" s="394"/>
      <c r="U25" s="394"/>
      <c r="AS25" s="1558">
        <v>14</v>
      </c>
    </row>
    <row r="26" spans="1:45" ht="15" customHeight="1">
      <c r="Q26" s="313"/>
      <c r="R26" s="313"/>
      <c r="S26" s="28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77"/>
      <c r="U26" s="2877"/>
      <c r="V26" s="2877"/>
      <c r="W26" s="2877"/>
      <c r="X26" s="2877"/>
      <c r="Y26" s="2877"/>
      <c r="Z26" s="2877"/>
      <c r="AA26" s="2877"/>
      <c r="AB26" s="2877"/>
      <c r="AC26" s="2877"/>
      <c r="AD26" s="2877"/>
      <c r="AE26" s="2877"/>
      <c r="AF26" s="2877"/>
      <c r="AG26" s="2877"/>
      <c r="AH26" s="2877"/>
      <c r="AI26" s="2877"/>
      <c r="AJ26" s="2877"/>
      <c r="AK26" s="1170"/>
      <c r="AS26" s="1558">
        <v>14</v>
      </c>
    </row>
    <row r="27" spans="1:45" ht="15" customHeight="1">
      <c r="Q27" s="313"/>
      <c r="R27" s="313"/>
      <c r="S27" s="2849" t="str">
        <f>IF(org=0,"Не определено",org)</f>
        <v>ТМУП "ТТС"</v>
      </c>
      <c r="T27" s="2849"/>
      <c r="U27" s="2849"/>
      <c r="V27" s="2849"/>
      <c r="W27" s="2849"/>
      <c r="X27" s="2849"/>
      <c r="Y27" s="2849"/>
      <c r="Z27" s="2849"/>
      <c r="AA27" s="2849"/>
      <c r="AB27" s="2849"/>
      <c r="AC27" s="2849"/>
      <c r="AD27" s="2849"/>
      <c r="AE27" s="2849"/>
      <c r="AF27" s="2849"/>
      <c r="AG27" s="2849"/>
      <c r="AH27" s="2849"/>
      <c r="AI27" s="2849"/>
      <c r="AJ27" s="2849"/>
      <c r="AK27" s="1170"/>
      <c r="AS27" s="1558">
        <v>14</v>
      </c>
    </row>
    <row r="28" spans="1:45" ht="14.25" hidden="1" customHeight="1">
      <c r="Q28" s="313"/>
      <c r="R28" s="313"/>
      <c r="S28" s="1202"/>
      <c r="T28" s="394"/>
      <c r="U28" s="394"/>
      <c r="V28" s="260"/>
      <c r="W28" s="260"/>
      <c r="X28" s="260"/>
      <c r="Y28" s="260"/>
      <c r="Z28" s="260"/>
      <c r="AA28" s="260"/>
      <c r="AB28" s="260"/>
      <c r="AC28" s="260"/>
      <c r="AD28" s="260"/>
      <c r="AE28" s="260"/>
      <c r="AF28" s="260"/>
      <c r="AG28" s="260"/>
      <c r="AH28" s="260"/>
      <c r="AI28" s="260"/>
      <c r="AJ28" s="260"/>
      <c r="AK28" s="260"/>
      <c r="AS28" s="1558">
        <v>0</v>
      </c>
    </row>
    <row r="29" spans="1:45" s="1778" customFormat="1" ht="25.5" hidden="1" customHeight="1">
      <c r="A29" s="1175"/>
      <c r="B29" s="1175"/>
      <c r="C29" s="1175"/>
      <c r="D29" s="1175"/>
      <c r="E29" s="1175"/>
      <c r="F29" s="1175"/>
      <c r="G29" s="1175"/>
      <c r="H29" s="1175"/>
      <c r="I29" s="1175"/>
      <c r="J29" s="1175"/>
      <c r="K29" s="1175"/>
      <c r="L29" s="1307"/>
      <c r="M29" s="1175"/>
      <c r="N29" s="1175"/>
      <c r="O29" s="1175"/>
      <c r="S29" s="2887" t="s">
        <v>46</v>
      </c>
      <c r="T29" s="2887"/>
      <c r="U29" s="1299"/>
      <c r="V29" s="2889" t="str">
        <f>IF(TITLE_NAME_OR_PR_CHANGE="",IF(TITLE_NAME_OR_PR="","",TITLE_NAME_OR_PR),TITLE_NAME_OR_PR_CHANGE)</f>
        <v/>
      </c>
      <c r="W29" s="2889"/>
      <c r="X29" s="2889"/>
      <c r="Y29" s="2889"/>
      <c r="Z29" s="2889"/>
      <c r="AA29" s="2889"/>
      <c r="AB29" s="2889"/>
      <c r="AC29" s="1562"/>
      <c r="AD29" s="2889" t="str">
        <f>IF(TITLE_NAME_OR_PR_CHANGE="",IF(TITLE_NAME_OR_PR="","",TITLE_NAME_OR_PR),TITLE_NAME_OR_PR_CHANGE)</f>
        <v/>
      </c>
      <c r="AE29" s="2889"/>
      <c r="AF29" s="2889"/>
      <c r="AG29" s="2889"/>
      <c r="AH29" s="2889"/>
      <c r="AI29" s="2889"/>
      <c r="AJ29" s="2889"/>
      <c r="AK29" s="1562"/>
      <c r="AL29" s="1562"/>
      <c r="AM29" s="218"/>
      <c r="AN29" s="305"/>
      <c r="AO29" s="305"/>
      <c r="AP29" s="305"/>
      <c r="AQ29" s="305"/>
      <c r="AR29" s="305"/>
      <c r="AS29" s="355">
        <v>0</v>
      </c>
    </row>
    <row r="30" spans="1:45" s="1778" customFormat="1" ht="18.75" hidden="1" customHeight="1">
      <c r="A30" s="1175"/>
      <c r="B30" s="1175"/>
      <c r="C30" s="1175"/>
      <c r="D30" s="1175"/>
      <c r="E30" s="1175"/>
      <c r="F30" s="1175"/>
      <c r="G30" s="1175"/>
      <c r="H30" s="1175"/>
      <c r="I30" s="1175"/>
      <c r="J30" s="1175"/>
      <c r="K30" s="1175"/>
      <c r="L30" s="1307"/>
      <c r="M30" s="1175"/>
      <c r="N30" s="1175"/>
      <c r="O30" s="1175"/>
      <c r="S30" s="2887" t="s">
        <v>465</v>
      </c>
      <c r="T30" s="2887"/>
      <c r="U30" s="1299"/>
      <c r="V30" s="2888" t="str">
        <f>IF(TITLE_DATE_PR_CHANGE="",IF(TITLE_DATE_PR="","",TITLE_DATE_PR),TITLE_DATE_PR_CHANGE)</f>
        <v>14.11.2024</v>
      </c>
      <c r="W30" s="2888"/>
      <c r="X30" s="2888"/>
      <c r="Y30" s="2888"/>
      <c r="Z30" s="2888"/>
      <c r="AA30" s="2888"/>
      <c r="AB30" s="2888"/>
      <c r="AC30" s="1562"/>
      <c r="AD30" s="2888" t="str">
        <f>IF(TITLE_DATE_PR_CHANGE="",IF(TITLE_DATE_PR="","",TITLE_DATE_PR),TITLE_DATE_PR_CHANGE)</f>
        <v>14.11.2024</v>
      </c>
      <c r="AE30" s="2888"/>
      <c r="AF30" s="2888"/>
      <c r="AG30" s="2888"/>
      <c r="AH30" s="2888"/>
      <c r="AI30" s="2888"/>
      <c r="AJ30" s="2888"/>
      <c r="AK30" s="1562"/>
      <c r="AL30" s="1562"/>
      <c r="AM30" s="218"/>
      <c r="AN30" s="305"/>
      <c r="AO30" s="305"/>
      <c r="AP30" s="305"/>
      <c r="AQ30" s="305"/>
      <c r="AR30" s="305"/>
      <c r="AS30" s="355">
        <v>0</v>
      </c>
    </row>
    <row r="31" spans="1:45" s="1778" customFormat="1" ht="18.75" hidden="1" customHeight="1">
      <c r="A31" s="1175"/>
      <c r="B31" s="1175"/>
      <c r="C31" s="1175"/>
      <c r="D31" s="1175"/>
      <c r="E31" s="1175"/>
      <c r="F31" s="1175"/>
      <c r="G31" s="1175"/>
      <c r="H31" s="1175"/>
      <c r="I31" s="1175"/>
      <c r="J31" s="1175"/>
      <c r="K31" s="1175"/>
      <c r="L31" s="1307"/>
      <c r="M31" s="1175"/>
      <c r="N31" s="1175"/>
      <c r="O31" s="1175"/>
      <c r="S31" s="2887" t="s">
        <v>466</v>
      </c>
      <c r="T31" s="2887"/>
      <c r="U31" s="1299"/>
      <c r="V31" s="2889" t="str">
        <f>IF(TITLE_NUMBER_PR_CHANGE="",IF(TITLE_NUMBER_PR="","",TITLE_NUMBER_PR),TITLE_NUMBER_PR_CHANGE)</f>
        <v>947 от 12.11.2024</v>
      </c>
      <c r="W31" s="2889"/>
      <c r="X31" s="2889"/>
      <c r="Y31" s="2889"/>
      <c r="Z31" s="2889"/>
      <c r="AA31" s="2889"/>
      <c r="AB31" s="2889"/>
      <c r="AC31" s="1562"/>
      <c r="AD31" s="2889" t="str">
        <f>IF(TITLE_NUMBER_PR_CHANGE="",IF(TITLE_NUMBER_PR="","",TITLE_NUMBER_PR),TITLE_NUMBER_PR_CHANGE)</f>
        <v>947 от 12.11.2024</v>
      </c>
      <c r="AE31" s="2889"/>
      <c r="AF31" s="2889"/>
      <c r="AG31" s="2889"/>
      <c r="AH31" s="2889"/>
      <c r="AI31" s="2889"/>
      <c r="AJ31" s="2889"/>
      <c r="AK31" s="1562"/>
      <c r="AL31" s="1562"/>
      <c r="AM31" s="218"/>
      <c r="AN31" s="305"/>
      <c r="AO31" s="305"/>
      <c r="AP31" s="305"/>
      <c r="AQ31" s="305"/>
      <c r="AR31" s="305"/>
      <c r="AS31" s="355">
        <v>0</v>
      </c>
    </row>
    <row r="32" spans="1:45" s="1778" customFormat="1" ht="18.75" hidden="1" customHeight="1">
      <c r="A32" s="1175"/>
      <c r="B32" s="1175"/>
      <c r="C32" s="1175"/>
      <c r="D32" s="1175"/>
      <c r="E32" s="1175"/>
      <c r="F32" s="1175"/>
      <c r="G32" s="1175"/>
      <c r="H32" s="1175"/>
      <c r="I32" s="1175"/>
      <c r="J32" s="1175"/>
      <c r="K32" s="1175"/>
      <c r="L32" s="1307"/>
      <c r="M32" s="1175"/>
      <c r="N32" s="1175"/>
      <c r="O32" s="1175"/>
      <c r="S32" s="2887" t="s">
        <v>47</v>
      </c>
      <c r="T32" s="2887"/>
      <c r="U32" s="1299"/>
      <c r="V32" s="2889" t="str">
        <f>IF(TITLE_IST_PUB_CHANGE="",IF(TITLE_IST_PUB="","",TITLE_IST_PUB),TITLE_IST_PUB_CHANGE)</f>
        <v/>
      </c>
      <c r="W32" s="2889"/>
      <c r="X32" s="2889"/>
      <c r="Y32" s="2889"/>
      <c r="Z32" s="2889"/>
      <c r="AA32" s="2889"/>
      <c r="AB32" s="2889"/>
      <c r="AC32" s="1562"/>
      <c r="AD32" s="2889" t="str">
        <f>IF(TITLE_IST_PUB_CHANGE="",IF(TITLE_IST_PUB="","",TITLE_IST_PUB),TITLE_IST_PUB_CHANGE)</f>
        <v/>
      </c>
      <c r="AE32" s="2889"/>
      <c r="AF32" s="2889"/>
      <c r="AG32" s="2889"/>
      <c r="AH32" s="2889"/>
      <c r="AI32" s="2889"/>
      <c r="AJ32" s="2889"/>
      <c r="AK32" s="1562"/>
      <c r="AL32" s="1562"/>
      <c r="AM32" s="218"/>
      <c r="AN32" s="305"/>
      <c r="AO32" s="305"/>
      <c r="AP32" s="305"/>
      <c r="AQ32" s="305"/>
      <c r="AR32" s="305"/>
      <c r="AS32" s="355">
        <v>0</v>
      </c>
    </row>
    <row r="33" spans="1:45" ht="14.25" hidden="1" customHeight="1">
      <c r="Q33" s="313"/>
      <c r="R33" s="313"/>
      <c r="S33" s="1202"/>
      <c r="T33" s="394"/>
      <c r="U33" s="394"/>
      <c r="V33" s="260"/>
      <c r="W33" s="260"/>
      <c r="X33" s="260"/>
      <c r="Y33" s="260"/>
      <c r="Z33" s="260"/>
      <c r="AA33" s="260"/>
      <c r="AB33" s="260"/>
      <c r="AC33" s="260"/>
      <c r="AD33" s="260"/>
      <c r="AE33" s="260"/>
      <c r="AF33" s="260"/>
      <c r="AG33" s="260"/>
      <c r="AH33" s="260"/>
      <c r="AI33" s="260"/>
      <c r="AJ33" s="260"/>
      <c r="AK33" s="260"/>
      <c r="AS33" s="1558">
        <v>0</v>
      </c>
    </row>
    <row r="34" spans="1:45" s="1778" customFormat="1" ht="18.75" hidden="1" customHeight="1">
      <c r="A34" s="1175"/>
      <c r="B34" s="1175"/>
      <c r="C34" s="1175"/>
      <c r="D34" s="1175"/>
      <c r="E34" s="1175"/>
      <c r="F34" s="1175"/>
      <c r="G34" s="1175"/>
      <c r="H34" s="1175"/>
      <c r="I34" s="1175"/>
      <c r="J34" s="1175"/>
      <c r="K34" s="1175"/>
      <c r="L34" s="1307"/>
      <c r="M34" s="1175"/>
      <c r="N34" s="1175"/>
      <c r="O34" s="1175"/>
      <c r="S34" s="2887" t="s">
        <v>467</v>
      </c>
      <c r="T34" s="2887"/>
      <c r="U34" s="1299"/>
      <c r="V34" s="2888" t="str">
        <f>IF(TITLE_DATE_PR_CHANGE="",IF(TITLE_DATE_PR="","",TITLE_DATE_PR),TITLE_DATE_PR_CHANGE)</f>
        <v>14.11.2024</v>
      </c>
      <c r="W34" s="2888"/>
      <c r="X34" s="2888"/>
      <c r="Y34" s="2888"/>
      <c r="Z34" s="2888"/>
      <c r="AA34" s="2888"/>
      <c r="AB34" s="2888"/>
      <c r="AC34" s="1562"/>
      <c r="AD34" s="2888" t="str">
        <f>IF(TITLE_DATE_PR_CHANGE="",IF(TITLE_DATE_PR="","",TITLE_DATE_PR),TITLE_DATE_PR_CHANGE)</f>
        <v>14.11.2024</v>
      </c>
      <c r="AE34" s="2888"/>
      <c r="AF34" s="2888"/>
      <c r="AG34" s="2888"/>
      <c r="AH34" s="2888"/>
      <c r="AI34" s="2888"/>
      <c r="AJ34" s="2888"/>
      <c r="AK34" s="1562"/>
      <c r="AL34" s="1562"/>
      <c r="AM34" s="218"/>
      <c r="AN34" s="305"/>
      <c r="AO34" s="305"/>
      <c r="AP34" s="305"/>
      <c r="AQ34" s="305"/>
      <c r="AR34" s="305"/>
      <c r="AS34" s="355">
        <v>0</v>
      </c>
    </row>
    <row r="35" spans="1:45" s="1778" customFormat="1" ht="18.75" hidden="1" customHeight="1">
      <c r="A35" s="1175"/>
      <c r="B35" s="1175"/>
      <c r="C35" s="1175"/>
      <c r="D35" s="1175"/>
      <c r="E35" s="1175"/>
      <c r="F35" s="1175"/>
      <c r="G35" s="1175"/>
      <c r="H35" s="1175"/>
      <c r="I35" s="1175"/>
      <c r="J35" s="1175"/>
      <c r="K35" s="1175"/>
      <c r="L35" s="1307"/>
      <c r="M35" s="1175"/>
      <c r="N35" s="1175"/>
      <c r="O35" s="1175"/>
      <c r="S35" s="2887" t="s">
        <v>468</v>
      </c>
      <c r="T35" s="2887"/>
      <c r="U35" s="1299"/>
      <c r="V35" s="2889" t="str">
        <f>IF(TITLE_NUMBER_PR_CHANGE="",IF(TITLE_NUMBER_PR="","",TITLE_NUMBER_PR),TITLE_NUMBER_PR_CHANGE)</f>
        <v>947 от 12.11.2024</v>
      </c>
      <c r="W35" s="2889"/>
      <c r="X35" s="2889"/>
      <c r="Y35" s="2889"/>
      <c r="Z35" s="2889"/>
      <c r="AA35" s="2889"/>
      <c r="AB35" s="2889"/>
      <c r="AC35" s="1562"/>
      <c r="AD35" s="2889" t="str">
        <f>IF(TITLE_NUMBER_PR_CHANGE="",IF(TITLE_NUMBER_PR="","",TITLE_NUMBER_PR),TITLE_NUMBER_PR_CHANGE)</f>
        <v>947 от 12.11.2024</v>
      </c>
      <c r="AE35" s="2889"/>
      <c r="AF35" s="2889"/>
      <c r="AG35" s="2889"/>
      <c r="AH35" s="2889"/>
      <c r="AI35" s="2889"/>
      <c r="AJ35" s="2889"/>
      <c r="AK35" s="1562"/>
      <c r="AL35" s="1562"/>
      <c r="AM35" s="218"/>
      <c r="AN35" s="305"/>
      <c r="AO35" s="305"/>
      <c r="AP35" s="305"/>
      <c r="AQ35" s="305"/>
      <c r="AR35" s="305"/>
      <c r="AS35" s="355">
        <v>0</v>
      </c>
    </row>
    <row r="36" spans="1:45" s="1778" customFormat="1" ht="0" hidden="1" customHeight="1">
      <c r="A36" s="1175"/>
      <c r="B36" s="1175"/>
      <c r="C36" s="1175"/>
      <c r="D36" s="1175"/>
      <c r="E36" s="1175"/>
      <c r="F36" s="1175"/>
      <c r="G36" s="1175"/>
      <c r="H36" s="1175"/>
      <c r="I36" s="1175"/>
      <c r="J36" s="1175"/>
      <c r="K36" s="1175"/>
      <c r="L36" s="1307"/>
      <c r="M36" s="1175"/>
      <c r="N36" s="1175"/>
      <c r="O36" s="1175"/>
      <c r="S36" s="1562"/>
      <c r="T36" s="1562"/>
      <c r="U36" s="1892"/>
      <c r="V36" s="1562"/>
      <c r="W36" s="1562"/>
      <c r="X36" s="1562"/>
      <c r="Y36" s="1562"/>
      <c r="Z36" s="1562"/>
      <c r="AA36" s="1562"/>
      <c r="AB36" s="1562"/>
      <c r="AC36" s="1569" t="s">
        <v>469</v>
      </c>
      <c r="AD36" s="1562"/>
      <c r="AE36" s="1562"/>
      <c r="AF36" s="1562"/>
      <c r="AG36" s="1562"/>
      <c r="AH36" s="1562"/>
      <c r="AI36" s="1562"/>
      <c r="AJ36" s="1562"/>
      <c r="AK36" s="1569" t="s">
        <v>469</v>
      </c>
      <c r="AN36" s="305"/>
      <c r="AO36" s="305"/>
      <c r="AP36" s="305"/>
      <c r="AQ36" s="305"/>
      <c r="AR36" s="305"/>
      <c r="AS36" s="355">
        <v>0</v>
      </c>
    </row>
    <row r="37" spans="1:45" ht="15" customHeight="1">
      <c r="Q37" s="313"/>
      <c r="R37" s="313"/>
      <c r="S37" s="1202"/>
      <c r="T37" s="394"/>
      <c r="U37" s="1171"/>
      <c r="V37" s="2908"/>
      <c r="W37" s="2908"/>
      <c r="X37" s="2908"/>
      <c r="Y37" s="2908"/>
      <c r="Z37" s="2908"/>
      <c r="AA37" s="2908"/>
      <c r="AB37" s="2908"/>
      <c r="AC37" s="2908"/>
      <c r="AD37" s="2908"/>
      <c r="AE37" s="2908"/>
      <c r="AF37" s="2908"/>
      <c r="AG37" s="2908"/>
      <c r="AH37" s="2908"/>
      <c r="AI37" s="2908"/>
      <c r="AJ37" s="2908"/>
      <c r="AK37" s="2908"/>
      <c r="AS37" s="1558">
        <v>14</v>
      </c>
    </row>
    <row r="38" spans="1:45" ht="15" customHeight="1">
      <c r="Q38" s="313"/>
      <c r="R38" s="313"/>
      <c r="S38" s="2758" t="s">
        <v>345</v>
      </c>
      <c r="T38" s="2758"/>
      <c r="U38" s="2758"/>
      <c r="V38" s="2758"/>
      <c r="W38" s="2758"/>
      <c r="X38" s="2758"/>
      <c r="Y38" s="2758"/>
      <c r="Z38" s="2758"/>
      <c r="AA38" s="2758"/>
      <c r="AB38" s="2758"/>
      <c r="AC38" s="2758"/>
      <c r="AD38" s="2758"/>
      <c r="AE38" s="2758"/>
      <c r="AF38" s="2758"/>
      <c r="AG38" s="2758"/>
      <c r="AH38" s="2758"/>
      <c r="AI38" s="2758"/>
      <c r="AJ38" s="2758"/>
      <c r="AK38" s="2758"/>
      <c r="AL38" s="2758"/>
      <c r="AM38" s="2758" t="s">
        <v>346</v>
      </c>
      <c r="AS38" s="1558">
        <v>14</v>
      </c>
    </row>
    <row r="39" spans="1:45" ht="15" customHeight="1">
      <c r="Q39" s="313"/>
      <c r="R39" s="313"/>
      <c r="S39" s="2909" t="s">
        <v>93</v>
      </c>
      <c r="T39" s="2857" t="s">
        <v>470</v>
      </c>
      <c r="U39" s="275"/>
      <c r="V39" s="2910" t="s">
        <v>471</v>
      </c>
      <c r="W39" s="2911"/>
      <c r="X39" s="2911"/>
      <c r="Y39" s="2911"/>
      <c r="Z39" s="2911"/>
      <c r="AA39" s="2911"/>
      <c r="AB39" s="2912"/>
      <c r="AC39" s="2913" t="s">
        <v>472</v>
      </c>
      <c r="AD39" s="2910" t="s">
        <v>471</v>
      </c>
      <c r="AE39" s="2911"/>
      <c r="AF39" s="2911"/>
      <c r="AG39" s="2911"/>
      <c r="AH39" s="2911"/>
      <c r="AI39" s="2911"/>
      <c r="AJ39" s="2912"/>
      <c r="AK39" s="2913" t="s">
        <v>473</v>
      </c>
      <c r="AL39" s="2916" t="s">
        <v>474</v>
      </c>
      <c r="AM39" s="2758"/>
      <c r="AS39" s="1558">
        <v>14</v>
      </c>
    </row>
    <row r="40" spans="1:45" ht="36" customHeight="1">
      <c r="Q40" s="313"/>
      <c r="R40" s="313"/>
      <c r="S40" s="2909"/>
      <c r="T40" s="2857"/>
      <c r="U40" s="961"/>
      <c r="V40" s="2829" t="s">
        <v>475</v>
      </c>
      <c r="W40" s="2905" t="s">
        <v>476</v>
      </c>
      <c r="X40" s="2740" t="s">
        <v>477</v>
      </c>
      <c r="Y40" s="2739"/>
      <c r="Z40" s="2740" t="s">
        <v>490</v>
      </c>
      <c r="AA40" s="2745"/>
      <c r="AB40" s="2739"/>
      <c r="AC40" s="2914"/>
      <c r="AD40" s="2829" t="s">
        <v>475</v>
      </c>
      <c r="AE40" s="2905" t="s">
        <v>476</v>
      </c>
      <c r="AF40" s="2740" t="s">
        <v>477</v>
      </c>
      <c r="AG40" s="2739"/>
      <c r="AH40" s="2740" t="s">
        <v>478</v>
      </c>
      <c r="AI40" s="2745"/>
      <c r="AJ40" s="2739"/>
      <c r="AK40" s="2914"/>
      <c r="AL40" s="2917"/>
      <c r="AM40" s="2758"/>
      <c r="AS40" s="1558">
        <v>34</v>
      </c>
    </row>
    <row r="41" spans="1:45" ht="36" customHeight="1">
      <c r="A41" s="1193"/>
      <c r="B41" s="1193" t="s">
        <v>140</v>
      </c>
      <c r="C41" s="1193" t="s">
        <v>141</v>
      </c>
      <c r="D41" s="1193" t="s">
        <v>142</v>
      </c>
      <c r="E41" s="1237" t="s">
        <v>479</v>
      </c>
      <c r="F41" s="1237" t="s">
        <v>480</v>
      </c>
      <c r="G41" s="1237" t="s">
        <v>481</v>
      </c>
      <c r="H41" s="1237" t="s">
        <v>482</v>
      </c>
      <c r="I41" s="1237" t="s">
        <v>483</v>
      </c>
      <c r="J41" s="1237" t="s">
        <v>484</v>
      </c>
      <c r="K41" s="1237" t="s">
        <v>485</v>
      </c>
      <c r="L41" s="1237" t="s">
        <v>460</v>
      </c>
      <c r="Q41" s="313"/>
      <c r="R41" s="313"/>
      <c r="S41" s="2909"/>
      <c r="T41" s="2857"/>
      <c r="U41" s="240"/>
      <c r="V41" s="2882"/>
      <c r="W41" s="2906"/>
      <c r="X41" s="1860" t="s">
        <v>486</v>
      </c>
      <c r="Y41" s="1860" t="s">
        <v>487</v>
      </c>
      <c r="Z41" s="1860" t="s">
        <v>488</v>
      </c>
      <c r="AA41" s="2862" t="s">
        <v>489</v>
      </c>
      <c r="AB41" s="2876"/>
      <c r="AC41" s="2915"/>
      <c r="AD41" s="2882"/>
      <c r="AE41" s="2906"/>
      <c r="AF41" s="1860" t="s">
        <v>486</v>
      </c>
      <c r="AG41" s="1860" t="s">
        <v>487</v>
      </c>
      <c r="AH41" s="1860" t="s">
        <v>488</v>
      </c>
      <c r="AI41" s="2862" t="s">
        <v>489</v>
      </c>
      <c r="AJ41" s="2876"/>
      <c r="AK41" s="2915"/>
      <c r="AL41" s="2918"/>
      <c r="AM41" s="2758"/>
      <c r="AS41" s="1558">
        <v>34</v>
      </c>
    </row>
    <row r="42" spans="1:45" s="1568" customFormat="1" ht="11.25" hidden="1" customHeight="1">
      <c r="A42" s="1193"/>
      <c r="B42" s="1193"/>
      <c r="C42" s="1193"/>
      <c r="D42" s="1193"/>
      <c r="E42" s="1193"/>
      <c r="F42" s="1193"/>
      <c r="G42" s="1193"/>
      <c r="H42" s="1193"/>
      <c r="I42" s="1193"/>
      <c r="J42" s="1193"/>
      <c r="K42" s="1193"/>
      <c r="L42" s="1237"/>
      <c r="M42" s="1887"/>
      <c r="N42" s="1887"/>
      <c r="O42" s="1887"/>
      <c r="P42" s="1173"/>
      <c r="Q42" s="1174"/>
      <c r="R42" s="1181">
        <v>1</v>
      </c>
      <c r="S42" s="1204" t="s">
        <v>114</v>
      </c>
      <c r="T42" s="1182" t="s">
        <v>115</v>
      </c>
      <c r="U42" s="1172" t="str">
        <f ca="1">OFFSET(U42,0,-1)</f>
        <v>2</v>
      </c>
      <c r="V42" s="1878">
        <f ca="1">OFFSET(V42,0,-1)+1</f>
        <v>3</v>
      </c>
      <c r="W42" s="1878"/>
      <c r="X42" s="1878">
        <f ca="1">OFFSET(X42,0,-1)+1</f>
        <v>1</v>
      </c>
      <c r="Y42" s="1878">
        <f ca="1">OFFSET(Y42,0,-1)+1</f>
        <v>2</v>
      </c>
      <c r="Z42" s="1878">
        <f ca="1">OFFSET(Z42,0,-1)+1</f>
        <v>3</v>
      </c>
      <c r="AA42" s="2907">
        <f ca="1">OFFSET(AA42,0,-1)+1</f>
        <v>4</v>
      </c>
      <c r="AB42" s="2907"/>
      <c r="AC42" s="1878">
        <f ca="1">OFFSET(AC42,0,-2)+1</f>
        <v>5</v>
      </c>
      <c r="AD42" s="1878">
        <f ca="1">OFFSET(AD42,0,-1)+1</f>
        <v>6</v>
      </c>
      <c r="AE42" s="1878"/>
      <c r="AF42" s="1878">
        <f ca="1">OFFSET(AF42,0,-1)+1</f>
        <v>1</v>
      </c>
      <c r="AG42" s="1878">
        <f ca="1">OFFSET(AG42,0,-1)+1</f>
        <v>2</v>
      </c>
      <c r="AH42" s="1878">
        <f ca="1">OFFSET(AH42,0,-1)+1</f>
        <v>3</v>
      </c>
      <c r="AI42" s="2907">
        <f ca="1">OFFSET(AI42,0,-1)+1</f>
        <v>4</v>
      </c>
      <c r="AJ42" s="2907"/>
      <c r="AK42" s="1878">
        <f ca="1">OFFSET(AK42,0,-2)+1</f>
        <v>5</v>
      </c>
      <c r="AL42" s="1172">
        <f ca="1">OFFSET(AL42,0,-1)</f>
        <v>5</v>
      </c>
      <c r="AM42" s="1878">
        <f ca="1">OFFSET(AM42,0,-1)+1</f>
        <v>6</v>
      </c>
      <c r="AN42" s="1563"/>
      <c r="AO42" s="1563"/>
      <c r="AP42" s="1563"/>
      <c r="AQ42" s="1563"/>
      <c r="AR42" s="1563"/>
      <c r="AS42" s="1568">
        <v>0</v>
      </c>
    </row>
    <row r="43" spans="1:45" ht="21.75" customHeight="1">
      <c r="A43" s="1194" t="s">
        <v>257</v>
      </c>
      <c r="B43" s="1194"/>
      <c r="C43" s="1194"/>
      <c r="D43" s="1194"/>
      <c r="E43" s="2923">
        <v>1</v>
      </c>
      <c r="F43" s="1194"/>
      <c r="G43" s="1194"/>
      <c r="H43" s="1194"/>
      <c r="I43" s="1194"/>
      <c r="J43" s="1194"/>
      <c r="K43" s="1194"/>
      <c r="L43" s="1237"/>
      <c r="M43" s="1537"/>
      <c r="N43" s="1537"/>
      <c r="O43" s="1537"/>
      <c r="P43" s="1517"/>
      <c r="Q43" s="297"/>
      <c r="R43" s="292"/>
      <c r="S43" s="1880">
        <f>INDEX(PT_DIFFERENTIATION_NUM_NTAR,MATCH(A43,PT_DIFFERENTIATION_NTAR_ID,0))</f>
        <v>0</v>
      </c>
      <c r="T43" s="1452" t="s">
        <v>128</v>
      </c>
      <c r="U43" s="238"/>
      <c r="V43" s="2890"/>
      <c r="W43" s="2891"/>
      <c r="X43" s="2891"/>
      <c r="Y43" s="2891"/>
      <c r="Z43" s="2891"/>
      <c r="AA43" s="2891"/>
      <c r="AB43" s="2891"/>
      <c r="AC43" s="2892"/>
      <c r="AD43" s="2890" t="str">
        <f>INDEX(PT_DIFFERENTIATION_NTAR,MATCH(A43,PT_DIFFERENTIATION_NTAR_ID,0))</f>
        <v/>
      </c>
      <c r="AE43" s="2891"/>
      <c r="AF43" s="2891"/>
      <c r="AG43" s="2891"/>
      <c r="AH43" s="2891"/>
      <c r="AI43" s="2891"/>
      <c r="AJ43" s="2891"/>
      <c r="AK43" s="2891"/>
      <c r="AL43" s="289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1551"/>
      <c r="AP43" s="1551" t="str">
        <f t="shared" ref="AP43:AP57" si="1">IF(T43="","",T43)</f>
        <v>Наименование тарифа</v>
      </c>
      <c r="AQ43" s="1551"/>
      <c r="AR43" s="1551"/>
      <c r="AS43" s="1558">
        <v>21</v>
      </c>
    </row>
    <row r="44" spans="1:45" ht="21.75" customHeight="1">
      <c r="A44" s="1194" t="s">
        <v>257</v>
      </c>
      <c r="B44" s="1194" t="s">
        <v>258</v>
      </c>
      <c r="C44" s="1194"/>
      <c r="D44" s="1194"/>
      <c r="E44" s="2924"/>
      <c r="F44" s="2923">
        <v>1</v>
      </c>
      <c r="G44" s="1194"/>
      <c r="H44" s="1194"/>
      <c r="I44" s="1194"/>
      <c r="J44" s="1194"/>
      <c r="K44" s="1194"/>
      <c r="L44" s="1237"/>
      <c r="M44" s="1537"/>
      <c r="N44" s="1537"/>
      <c r="O44" s="1537"/>
      <c r="P44" s="1862"/>
      <c r="Q44" s="289"/>
      <c r="R44" s="290"/>
      <c r="S44" s="1880" t="str">
        <f>INDEX(PT_DIFFERENTIATION_NUM_TER,MATCH(B44,PT_DIFFERENTIATION_TER_ID,0))</f>
        <v>.</v>
      </c>
      <c r="T44" s="1449" t="s">
        <v>442</v>
      </c>
      <c r="U44" s="238"/>
      <c r="V44" s="2890"/>
      <c r="W44" s="2891"/>
      <c r="X44" s="2891"/>
      <c r="Y44" s="2891"/>
      <c r="Z44" s="2891"/>
      <c r="AA44" s="2891"/>
      <c r="AB44" s="2891"/>
      <c r="AC44" s="2892"/>
      <c r="AD44" s="2890" t="str">
        <f>INDEX(PT_DIFFERENTIATION_TER,MATCH(B44,PT_DIFFERENTIATION_TER_ID,0))</f>
        <v/>
      </c>
      <c r="AE44" s="2891"/>
      <c r="AF44" s="2891"/>
      <c r="AG44" s="2891"/>
      <c r="AH44" s="2891"/>
      <c r="AI44" s="2891"/>
      <c r="AJ44" s="2891"/>
      <c r="AK44" s="2891"/>
      <c r="AL44" s="2892"/>
      <c r="AM44" s="1185" t="s">
        <v>443</v>
      </c>
      <c r="AO44" s="1551"/>
      <c r="AP44" s="1551" t="str">
        <f t="shared" si="1"/>
        <v>Территория действия тарифа</v>
      </c>
      <c r="AQ44" s="1551"/>
      <c r="AR44" s="1551"/>
      <c r="AS44" s="1558">
        <v>21</v>
      </c>
    </row>
    <row r="45" spans="1:45" ht="24" customHeight="1">
      <c r="A45" s="1194" t="s">
        <v>257</v>
      </c>
      <c r="B45" s="1194" t="s">
        <v>258</v>
      </c>
      <c r="C45" s="1194" t="s">
        <v>259</v>
      </c>
      <c r="D45" s="1194"/>
      <c r="E45" s="2924"/>
      <c r="F45" s="2924"/>
      <c r="G45" s="2923">
        <v>1</v>
      </c>
      <c r="H45" s="1194"/>
      <c r="I45" s="1194"/>
      <c r="J45" s="1194"/>
      <c r="K45" s="1194"/>
      <c r="L45" s="1237"/>
      <c r="M45" s="1537"/>
      <c r="N45" s="1537"/>
      <c r="O45" s="1537"/>
      <c r="P45" s="291"/>
      <c r="Q45" s="289"/>
      <c r="R45" s="290"/>
      <c r="S45" s="1880" t="str">
        <f>INDEX(PT_DIFFERENTIATION_NUM_CS,MATCH(C45,PT_DIFFERENTIATION_CS_ID,0))</f>
        <v>..</v>
      </c>
      <c r="T45" s="247" t="s">
        <v>444</v>
      </c>
      <c r="U45" s="238"/>
      <c r="V45" s="2890"/>
      <c r="W45" s="2891"/>
      <c r="X45" s="2891"/>
      <c r="Y45" s="2891"/>
      <c r="Z45" s="2891"/>
      <c r="AA45" s="2891"/>
      <c r="AB45" s="2891"/>
      <c r="AC45" s="2892"/>
      <c r="AD45" s="2890" t="str">
        <f>INDEX(PT_DIFFERENTIATION_CS,MATCH(C45,PT_DIFFERENTIATION_CS_ID,0))</f>
        <v/>
      </c>
      <c r="AE45" s="2891"/>
      <c r="AF45" s="2891"/>
      <c r="AG45" s="2891"/>
      <c r="AH45" s="2891"/>
      <c r="AI45" s="2891"/>
      <c r="AJ45" s="2891"/>
      <c r="AK45" s="2891"/>
      <c r="AL45" s="2892"/>
      <c r="AM45" s="1185" t="s">
        <v>445</v>
      </c>
      <c r="AO45" s="1551"/>
      <c r="AP45" s="1551" t="str">
        <f t="shared" si="1"/>
        <v xml:space="preserve">Наименование системы теплоснабжения </v>
      </c>
      <c r="AQ45" s="1551"/>
      <c r="AR45" s="1551"/>
      <c r="AS45" s="1558">
        <v>23</v>
      </c>
    </row>
    <row r="46" spans="1:45" ht="21.75" customHeight="1">
      <c r="A46" s="1194" t="s">
        <v>257</v>
      </c>
      <c r="B46" s="1194" t="s">
        <v>258</v>
      </c>
      <c r="C46" s="1194" t="s">
        <v>259</v>
      </c>
      <c r="D46" s="1194" t="s">
        <v>260</v>
      </c>
      <c r="E46" s="2924"/>
      <c r="F46" s="2924"/>
      <c r="G46" s="2924"/>
      <c r="H46" s="2923">
        <v>1</v>
      </c>
      <c r="I46" s="1194"/>
      <c r="J46" s="1194"/>
      <c r="K46" s="1194"/>
      <c r="L46" s="1237"/>
      <c r="M46" s="1537"/>
      <c r="N46" s="1537"/>
      <c r="O46" s="1537"/>
      <c r="P46" s="291"/>
      <c r="Q46" s="289"/>
      <c r="R46" s="290"/>
      <c r="S46" s="1880" t="str">
        <f>INDEX(PT_DIFFERENTIATION_NUM_IST_TE,MATCH(D46,PT_DIFFERENTIATION_IST_TE_ID,0))</f>
        <v>...</v>
      </c>
      <c r="T46" s="248" t="s">
        <v>446</v>
      </c>
      <c r="U46" s="238"/>
      <c r="V46" s="2890"/>
      <c r="W46" s="2891"/>
      <c r="X46" s="2891"/>
      <c r="Y46" s="2891"/>
      <c r="Z46" s="2891"/>
      <c r="AA46" s="2891"/>
      <c r="AB46" s="2891"/>
      <c r="AC46" s="2892"/>
      <c r="AD46" s="2890" t="str">
        <f>INDEX(PT_DIFFERENTIATION_IST_TE,MATCH(D46,PT_DIFFERENTIATION_IST_TE_ID,0))</f>
        <v/>
      </c>
      <c r="AE46" s="2891"/>
      <c r="AF46" s="2891"/>
      <c r="AG46" s="2891"/>
      <c r="AH46" s="2891"/>
      <c r="AI46" s="2891"/>
      <c r="AJ46" s="2891"/>
      <c r="AK46" s="2891"/>
      <c r="AL46" s="2892"/>
      <c r="AM46" s="1185" t="s">
        <v>447</v>
      </c>
      <c r="AO46" s="1551"/>
      <c r="AP46" s="1551" t="str">
        <f t="shared" si="1"/>
        <v xml:space="preserve">Источник тепловой энергии  </v>
      </c>
      <c r="AQ46" s="1551"/>
      <c r="AR46" s="1551"/>
      <c r="AS46" s="1558">
        <v>21</v>
      </c>
    </row>
    <row r="47" spans="1:45" ht="49.5" customHeight="1">
      <c r="A47" s="1194" t="s">
        <v>257</v>
      </c>
      <c r="B47" s="1194" t="s">
        <v>258</v>
      </c>
      <c r="C47" s="1194" t="s">
        <v>259</v>
      </c>
      <c r="D47" s="1194" t="s">
        <v>260</v>
      </c>
      <c r="E47" s="2924"/>
      <c r="F47" s="2924"/>
      <c r="G47" s="2924"/>
      <c r="H47" s="2924"/>
      <c r="I47" s="2758" t="str">
        <f>S46&amp;".1"</f>
        <v>....1</v>
      </c>
      <c r="J47" s="1194"/>
      <c r="K47" s="1194"/>
      <c r="L47" s="1237" t="s">
        <v>448</v>
      </c>
      <c r="P47" s="2900">
        <v>1</v>
      </c>
      <c r="Q47" s="1876"/>
      <c r="R47" s="293"/>
      <c r="S47" s="1880" t="str">
        <f>$I47</f>
        <v>....1</v>
      </c>
      <c r="T47" s="223" t="s">
        <v>449</v>
      </c>
      <c r="U47" s="238"/>
      <c r="V47" s="2884"/>
      <c r="W47" s="2885"/>
      <c r="X47" s="2885"/>
      <c r="Y47" s="2885"/>
      <c r="Z47" s="2885"/>
      <c r="AA47" s="2885"/>
      <c r="AB47" s="2885"/>
      <c r="AC47" s="2886"/>
      <c r="AD47" s="2884"/>
      <c r="AE47" s="2885"/>
      <c r="AF47" s="2885"/>
      <c r="AG47" s="2885"/>
      <c r="AH47" s="2885"/>
      <c r="AI47" s="2885"/>
      <c r="AJ47" s="2885"/>
      <c r="AK47" s="2885"/>
      <c r="AL47" s="2886"/>
      <c r="AM47" s="1185" t="s">
        <v>450</v>
      </c>
      <c r="AO47" s="1551"/>
      <c r="AP47" s="1551" t="str">
        <f t="shared" si="1"/>
        <v>Схема подключения теплопотребляющей установки к коллектору источника тепловой энергии</v>
      </c>
      <c r="AQ47" s="1551"/>
      <c r="AR47" s="1551"/>
      <c r="AS47" s="1558">
        <v>47</v>
      </c>
    </row>
    <row r="48" spans="1:45" ht="21.75" customHeight="1">
      <c r="A48" s="1194" t="s">
        <v>257</v>
      </c>
      <c r="B48" s="1194" t="s">
        <v>258</v>
      </c>
      <c r="C48" s="1194" t="s">
        <v>259</v>
      </c>
      <c r="D48" s="1194" t="s">
        <v>260</v>
      </c>
      <c r="E48" s="2924"/>
      <c r="F48" s="2924"/>
      <c r="G48" s="2924"/>
      <c r="H48" s="2924"/>
      <c r="I48" s="2740"/>
      <c r="J48" s="2758" t="str">
        <f>I47&amp;".1"</f>
        <v>....1.1</v>
      </c>
      <c r="K48" s="1194"/>
      <c r="L48" s="1237" t="s">
        <v>451</v>
      </c>
      <c r="P48" s="2900"/>
      <c r="Q48" s="2900">
        <v>1</v>
      </c>
      <c r="R48" s="294"/>
      <c r="S48" s="1880" t="str">
        <f>$J48</f>
        <v>....1.1</v>
      </c>
      <c r="T48" s="224" t="s">
        <v>452</v>
      </c>
      <c r="U48" s="238"/>
      <c r="V48" s="2884"/>
      <c r="W48" s="2885"/>
      <c r="X48" s="2885"/>
      <c r="Y48" s="2885"/>
      <c r="Z48" s="2885"/>
      <c r="AA48" s="2885"/>
      <c r="AB48" s="2885"/>
      <c r="AC48" s="2886"/>
      <c r="AD48" s="2884"/>
      <c r="AE48" s="2885"/>
      <c r="AF48" s="2885"/>
      <c r="AG48" s="2885"/>
      <c r="AH48" s="2885"/>
      <c r="AI48" s="2885"/>
      <c r="AJ48" s="2885"/>
      <c r="AK48" s="2885"/>
      <c r="AL48" s="2886"/>
      <c r="AM48" s="1185" t="s">
        <v>453</v>
      </c>
      <c r="AO48" s="1551"/>
      <c r="AP48" s="1551" t="str">
        <f t="shared" si="1"/>
        <v>Группа потребителей</v>
      </c>
      <c r="AQ48" s="1551"/>
      <c r="AR48" s="1551"/>
      <c r="AS48" s="1558">
        <v>21</v>
      </c>
    </row>
    <row r="49" spans="1:45" ht="21.75" customHeight="1">
      <c r="A49" s="1194" t="s">
        <v>257</v>
      </c>
      <c r="B49" s="1194" t="s">
        <v>258</v>
      </c>
      <c r="C49" s="1194" t="s">
        <v>259</v>
      </c>
      <c r="D49" s="1194" t="s">
        <v>260</v>
      </c>
      <c r="E49" s="2924"/>
      <c r="F49" s="2924"/>
      <c r="G49" s="2924"/>
      <c r="H49" s="2924"/>
      <c r="I49" s="2740"/>
      <c r="J49" s="2740"/>
      <c r="K49" s="2758" t="str">
        <f>J48&amp;".1"</f>
        <v>....1.1.1</v>
      </c>
      <c r="L49" s="1237" t="s">
        <v>454</v>
      </c>
      <c r="P49" s="2900"/>
      <c r="Q49" s="2900"/>
      <c r="R49" s="294">
        <v>1</v>
      </c>
      <c r="S49" s="1880" t="str">
        <f>$K49</f>
        <v>....1.1.1</v>
      </c>
      <c r="T49" s="1274"/>
      <c r="U49" s="238"/>
      <c r="V49" s="688"/>
      <c r="W49" s="263"/>
      <c r="X49" s="688"/>
      <c r="Y49" s="1184"/>
      <c r="Z49" s="2901"/>
      <c r="AA49" s="2768" t="s">
        <v>71</v>
      </c>
      <c r="AB49" s="2901"/>
      <c r="AC49" s="2768" t="s">
        <v>71</v>
      </c>
      <c r="AD49" s="688"/>
      <c r="AE49" s="263"/>
      <c r="AF49" s="688"/>
      <c r="AG49" s="1184"/>
      <c r="AH49" s="2901"/>
      <c r="AI49" s="2768" t="s">
        <v>71</v>
      </c>
      <c r="AJ49" s="2903"/>
      <c r="AK49" s="2768" t="s">
        <v>71</v>
      </c>
      <c r="AL49" s="1275"/>
      <c r="AM49" s="2919" t="s">
        <v>455</v>
      </c>
      <c r="AN49" s="1563" t="e">
        <f ca="1">STRCHECKDATE(V50:AL50)</f>
        <v>#NAME?</v>
      </c>
      <c r="AO49" s="1551"/>
      <c r="AP49" s="1551" t="str">
        <f t="shared" si="1"/>
        <v/>
      </c>
      <c r="AQ49" s="1551"/>
      <c r="AR49" s="1551"/>
      <c r="AS49" s="1558">
        <v>21</v>
      </c>
    </row>
    <row r="50" spans="1:45" ht="0.75" customHeight="1">
      <c r="A50" s="1194" t="s">
        <v>257</v>
      </c>
      <c r="B50" s="1194" t="s">
        <v>258</v>
      </c>
      <c r="C50" s="1194" t="s">
        <v>259</v>
      </c>
      <c r="D50" s="1194" t="s">
        <v>260</v>
      </c>
      <c r="E50" s="2924"/>
      <c r="F50" s="2924"/>
      <c r="G50" s="2924"/>
      <c r="H50" s="2924"/>
      <c r="I50" s="2740"/>
      <c r="J50" s="2740"/>
      <c r="K50" s="2758"/>
      <c r="L50" s="1237"/>
      <c r="P50" s="2900"/>
      <c r="Q50" s="2900"/>
      <c r="R50" s="294"/>
      <c r="S50" s="1889"/>
      <c r="T50" s="238"/>
      <c r="U50" s="238"/>
      <c r="V50" s="263"/>
      <c r="W50" s="263"/>
      <c r="X50" s="263"/>
      <c r="Y50" s="266" t="str">
        <f>Z49&amp;"-"&amp;AB49</f>
        <v>-</v>
      </c>
      <c r="Z50" s="2902"/>
      <c r="AA50" s="2768"/>
      <c r="AB50" s="2902"/>
      <c r="AC50" s="2768"/>
      <c r="AD50" s="263"/>
      <c r="AE50" s="263"/>
      <c r="AF50" s="263"/>
      <c r="AG50" s="266" t="str">
        <f>AH49&amp;"-"&amp;AJ49</f>
        <v>-</v>
      </c>
      <c r="AH50" s="2902"/>
      <c r="AI50" s="2768"/>
      <c r="AJ50" s="2904"/>
      <c r="AK50" s="2768"/>
      <c r="AL50" s="1276"/>
      <c r="AM50" s="2920"/>
      <c r="AO50" s="1551"/>
      <c r="AP50" s="1551" t="str">
        <f t="shared" si="1"/>
        <v/>
      </c>
      <c r="AQ50" s="1551"/>
      <c r="AR50" s="1551"/>
      <c r="AS50" s="1558">
        <v>1</v>
      </c>
    </row>
    <row r="51" spans="1:45" ht="11.25" customHeight="1">
      <c r="A51" s="1194" t="s">
        <v>257</v>
      </c>
      <c r="B51" s="1194" t="s">
        <v>258</v>
      </c>
      <c r="C51" s="1194" t="s">
        <v>259</v>
      </c>
      <c r="D51" s="1194" t="s">
        <v>260</v>
      </c>
      <c r="E51" s="2924"/>
      <c r="F51" s="2924"/>
      <c r="G51" s="2924"/>
      <c r="H51" s="2924"/>
      <c r="I51" s="2740"/>
      <c r="J51" s="2758"/>
      <c r="K51" s="1194"/>
      <c r="L51" s="1237"/>
      <c r="P51" s="2900"/>
      <c r="Q51" s="2900"/>
      <c r="R51" s="293"/>
      <c r="S51" s="1205"/>
      <c r="T51" s="226" t="s">
        <v>456</v>
      </c>
      <c r="U51" s="537"/>
      <c r="V51" s="537"/>
      <c r="W51" s="537"/>
      <c r="X51" s="537"/>
      <c r="Y51" s="537"/>
      <c r="Z51" s="537"/>
      <c r="AA51" s="537"/>
      <c r="AB51" s="537"/>
      <c r="AC51" s="537"/>
      <c r="AD51" s="537"/>
      <c r="AE51" s="537"/>
      <c r="AF51" s="537"/>
      <c r="AG51" s="537"/>
      <c r="AH51" s="537"/>
      <c r="AI51" s="537"/>
      <c r="AJ51" s="537"/>
      <c r="AK51" s="537"/>
      <c r="AL51" s="262"/>
      <c r="AM51" s="2921"/>
      <c r="AO51" s="1551"/>
      <c r="AP51" s="1551" t="str">
        <f t="shared" si="1"/>
        <v>Добавить вид теплоносителя (параметры теплоносителя)</v>
      </c>
      <c r="AQ51" s="1551"/>
      <c r="AR51" s="1551"/>
      <c r="AS51" s="1558">
        <v>11</v>
      </c>
    </row>
    <row r="52" spans="1:45" ht="11.25" customHeight="1">
      <c r="A52" s="1194" t="s">
        <v>257</v>
      </c>
      <c r="B52" s="1194" t="s">
        <v>258</v>
      </c>
      <c r="C52" s="1194" t="s">
        <v>259</v>
      </c>
      <c r="D52" s="1194" t="s">
        <v>260</v>
      </c>
      <c r="E52" s="2924"/>
      <c r="F52" s="2924"/>
      <c r="G52" s="2924"/>
      <c r="H52" s="2924"/>
      <c r="I52" s="2758"/>
      <c r="J52" s="1194"/>
      <c r="K52" s="1194"/>
      <c r="L52" s="1237"/>
      <c r="P52" s="2900"/>
      <c r="Q52" s="1876"/>
      <c r="R52" s="293"/>
      <c r="S52" s="1205"/>
      <c r="T52" s="225" t="s">
        <v>457</v>
      </c>
      <c r="U52" s="537"/>
      <c r="V52" s="537"/>
      <c r="W52" s="537"/>
      <c r="X52" s="537"/>
      <c r="Y52" s="537"/>
      <c r="Z52" s="537"/>
      <c r="AA52" s="537"/>
      <c r="AB52" s="537"/>
      <c r="AC52" s="303"/>
      <c r="AD52" s="537"/>
      <c r="AE52" s="537"/>
      <c r="AF52" s="537"/>
      <c r="AG52" s="537"/>
      <c r="AH52" s="537"/>
      <c r="AI52" s="537"/>
      <c r="AJ52" s="537"/>
      <c r="AK52" s="303"/>
      <c r="AL52" s="537"/>
      <c r="AM52" s="241"/>
      <c r="AO52" s="1551"/>
      <c r="AP52" s="1551" t="str">
        <f t="shared" si="1"/>
        <v>Добавить группу потребителей</v>
      </c>
      <c r="AQ52" s="1551"/>
      <c r="AR52" s="1551"/>
      <c r="AS52" s="1558">
        <v>11</v>
      </c>
    </row>
    <row r="53" spans="1:45" ht="15" customHeight="1">
      <c r="A53" s="1194" t="s">
        <v>257</v>
      </c>
      <c r="B53" s="1194" t="s">
        <v>258</v>
      </c>
      <c r="C53" s="1194" t="s">
        <v>259</v>
      </c>
      <c r="D53" s="1194" t="s">
        <v>260</v>
      </c>
      <c r="E53" s="2924"/>
      <c r="F53" s="2924"/>
      <c r="G53" s="2924"/>
      <c r="H53" s="2923"/>
      <c r="I53" s="1194"/>
      <c r="J53" s="1194"/>
      <c r="K53" s="1194"/>
      <c r="L53" s="1237"/>
      <c r="M53" s="1537"/>
      <c r="N53" s="1537"/>
      <c r="O53" s="1562"/>
      <c r="P53" s="297"/>
      <c r="Q53" s="312"/>
      <c r="R53" s="292"/>
      <c r="S53" s="1205"/>
      <c r="T53" s="302" t="s">
        <v>458</v>
      </c>
      <c r="U53" s="537"/>
      <c r="V53" s="537"/>
      <c r="W53" s="537"/>
      <c r="X53" s="537"/>
      <c r="Y53" s="537"/>
      <c r="Z53" s="537"/>
      <c r="AA53" s="537"/>
      <c r="AB53" s="537"/>
      <c r="AC53" s="303"/>
      <c r="AD53" s="537"/>
      <c r="AE53" s="537"/>
      <c r="AF53" s="537"/>
      <c r="AG53" s="537"/>
      <c r="AH53" s="537"/>
      <c r="AI53" s="537"/>
      <c r="AJ53" s="537"/>
      <c r="AK53" s="303"/>
      <c r="AL53" s="537"/>
      <c r="AM53" s="241"/>
      <c r="AO53" s="1551"/>
      <c r="AP53" s="1551" t="str">
        <f t="shared" si="1"/>
        <v>Добавить схему подключения</v>
      </c>
      <c r="AQ53" s="1551"/>
      <c r="AR53" s="1551"/>
      <c r="AS53" s="1558">
        <v>14</v>
      </c>
    </row>
    <row r="54" spans="1:45" s="1569" customFormat="1" ht="0.75" customHeight="1">
      <c r="A54" s="1194" t="s">
        <v>257</v>
      </c>
      <c r="B54" s="1194" t="s">
        <v>258</v>
      </c>
      <c r="C54" s="1194" t="s">
        <v>259</v>
      </c>
      <c r="D54" s="1896"/>
      <c r="E54" s="2924"/>
      <c r="F54" s="2924"/>
      <c r="G54" s="2923"/>
      <c r="H54" s="1896"/>
      <c r="I54" s="1896"/>
      <c r="J54" s="1896"/>
      <c r="K54" s="1896"/>
      <c r="L54" s="1307"/>
      <c r="M54" s="1537"/>
      <c r="N54" s="1537"/>
      <c r="O54" s="1562"/>
      <c r="P54" s="1243"/>
      <c r="Q54" s="1244"/>
      <c r="R54" s="1243"/>
      <c r="S54" s="1249"/>
      <c r="T54" s="1252" t="s">
        <v>174</v>
      </c>
      <c r="U54" s="1251"/>
      <c r="V54" s="1251"/>
      <c r="W54" s="1251"/>
      <c r="X54" s="1251"/>
      <c r="Y54" s="1251"/>
      <c r="Z54" s="1251"/>
      <c r="AA54" s="1251"/>
      <c r="AB54" s="1251"/>
      <c r="AC54" s="1251"/>
      <c r="AD54" s="1251"/>
      <c r="AE54" s="1251"/>
      <c r="AF54" s="1251"/>
      <c r="AG54" s="1251"/>
      <c r="AH54" s="1251"/>
      <c r="AI54" s="1251"/>
      <c r="AJ54" s="1251"/>
      <c r="AK54" s="1251"/>
      <c r="AL54" s="1251"/>
      <c r="AM54" s="1251"/>
      <c r="AO54" s="1178"/>
      <c r="AP54" s="1178" t="str">
        <f t="shared" si="1"/>
        <v>Добавить источник для дифференциации</v>
      </c>
      <c r="AQ54" s="1178"/>
      <c r="AR54" s="1178"/>
      <c r="AS54" s="1569">
        <v>1</v>
      </c>
    </row>
    <row r="55" spans="1:45" s="1569" customFormat="1" ht="0.75" customHeight="1">
      <c r="A55" s="1194" t="s">
        <v>257</v>
      </c>
      <c r="B55" s="1194" t="s">
        <v>258</v>
      </c>
      <c r="C55" s="1896"/>
      <c r="D55" s="1896"/>
      <c r="E55" s="2924"/>
      <c r="F55" s="2923"/>
      <c r="G55" s="1896"/>
      <c r="H55" s="1896"/>
      <c r="I55" s="1896"/>
      <c r="J55" s="1896"/>
      <c r="K55" s="1896"/>
      <c r="L55" s="1307"/>
      <c r="M55" s="1897"/>
      <c r="N55" s="1897"/>
      <c r="O55" s="1562"/>
      <c r="P55" s="1243"/>
      <c r="Q55" s="1244"/>
      <c r="R55" s="1243"/>
      <c r="S55" s="1249"/>
      <c r="T55" s="1252" t="s">
        <v>176</v>
      </c>
      <c r="U55" s="1251"/>
      <c r="V55" s="1251"/>
      <c r="W55" s="1251"/>
      <c r="X55" s="1251"/>
      <c r="Y55" s="1251"/>
      <c r="Z55" s="1251"/>
      <c r="AA55" s="1251"/>
      <c r="AB55" s="1251"/>
      <c r="AC55" s="1251"/>
      <c r="AD55" s="1251"/>
      <c r="AE55" s="1251"/>
      <c r="AF55" s="1251"/>
      <c r="AG55" s="1251"/>
      <c r="AH55" s="1251"/>
      <c r="AI55" s="1251"/>
      <c r="AJ55" s="1251"/>
      <c r="AK55" s="1251"/>
      <c r="AL55" s="1251"/>
      <c r="AM55" s="1251"/>
      <c r="AO55" s="1178"/>
      <c r="AP55" s="1178" t="str">
        <f t="shared" si="1"/>
        <v>Добавить централизованную систему для дифференциации</v>
      </c>
      <c r="AQ55" s="1178"/>
      <c r="AR55" s="1178"/>
      <c r="AS55" s="1569">
        <v>1</v>
      </c>
    </row>
    <row r="56" spans="1:45" s="1569" customFormat="1" ht="0.75" customHeight="1">
      <c r="A56" s="1194" t="s">
        <v>257</v>
      </c>
      <c r="B56" s="1194"/>
      <c r="C56" s="1194"/>
      <c r="D56" s="1194"/>
      <c r="E56" s="2923"/>
      <c r="F56" s="1194"/>
      <c r="G56" s="1194"/>
      <c r="H56" s="1194"/>
      <c r="I56" s="1194"/>
      <c r="J56" s="1194"/>
      <c r="K56" s="1194"/>
      <c r="L56" s="1237"/>
      <c r="M56" s="1897"/>
      <c r="N56" s="1897"/>
      <c r="O56" s="1562"/>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O56" s="1551"/>
      <c r="AP56" s="1551" t="str">
        <f t="shared" si="1"/>
        <v>Добавить территорию для дифференциации</v>
      </c>
      <c r="AQ56" s="1551"/>
      <c r="AR56" s="1551"/>
      <c r="AS56" s="1563">
        <v>1</v>
      </c>
    </row>
    <row r="57" spans="1:45" s="1569" customFormat="1" ht="0.75" customHeight="1">
      <c r="A57" s="1896"/>
      <c r="B57" s="1896"/>
      <c r="C57" s="1896"/>
      <c r="D57" s="1896"/>
      <c r="E57" s="1194"/>
      <c r="F57" s="1896"/>
      <c r="G57" s="1896"/>
      <c r="H57" s="1896"/>
      <c r="I57" s="1896"/>
      <c r="J57" s="1896"/>
      <c r="K57" s="1896"/>
      <c r="L57" s="1307"/>
      <c r="M57" s="1897"/>
      <c r="N57" s="1897"/>
      <c r="O57" s="1562"/>
      <c r="P57" s="1243"/>
      <c r="Q57" s="1244"/>
      <c r="R57" s="1243"/>
      <c r="S57" s="1249"/>
      <c r="T57" s="1252" t="s">
        <v>212</v>
      </c>
      <c r="U57" s="1251"/>
      <c r="V57" s="1251"/>
      <c r="W57" s="1251"/>
      <c r="X57" s="1251"/>
      <c r="Y57" s="1251"/>
      <c r="Z57" s="1251"/>
      <c r="AA57" s="1251"/>
      <c r="AB57" s="1251"/>
      <c r="AC57" s="1251"/>
      <c r="AD57" s="1251"/>
      <c r="AE57" s="1251"/>
      <c r="AF57" s="1251"/>
      <c r="AG57" s="1251"/>
      <c r="AH57" s="1251"/>
      <c r="AI57" s="1251"/>
      <c r="AJ57" s="1251"/>
      <c r="AK57" s="1251"/>
      <c r="AL57" s="1251"/>
      <c r="AM57" s="1251"/>
      <c r="AO57" s="1178"/>
      <c r="AP57" s="1178" t="str">
        <f t="shared" si="1"/>
        <v>Добавить наименование тарифа</v>
      </c>
      <c r="AQ57" s="1178"/>
      <c r="AR57" s="1178"/>
      <c r="AS57" s="1569">
        <v>1</v>
      </c>
    </row>
    <row r="58" spans="1:45" ht="11.25" customHeight="1">
      <c r="M58" s="1558"/>
      <c r="N58" s="1558"/>
      <c r="O58" s="1562"/>
      <c r="P58" s="1558"/>
      <c r="Q58" s="1558"/>
      <c r="R58" s="1558"/>
      <c r="S58" s="1558"/>
      <c r="AN58" s="1558"/>
      <c r="AO58" s="1558"/>
      <c r="AP58" s="1558"/>
      <c r="AQ58" s="1558"/>
      <c r="AR58" s="1558"/>
      <c r="AS58" s="1558">
        <v>11</v>
      </c>
    </row>
    <row r="59" spans="1:45" ht="28.5" customHeight="1">
      <c r="O59" s="1562"/>
      <c r="S59" s="1180"/>
      <c r="T59" s="2895"/>
      <c r="U59" s="2895"/>
      <c r="V59" s="2895"/>
      <c r="W59" s="2895"/>
      <c r="X59" s="2895"/>
      <c r="Y59" s="2895"/>
      <c r="Z59" s="2895"/>
      <c r="AA59" s="2895"/>
      <c r="AB59" s="2895"/>
      <c r="AC59" s="2895"/>
      <c r="AD59" s="2895"/>
      <c r="AE59" s="2895"/>
      <c r="AF59" s="2895"/>
      <c r="AG59" s="2895"/>
      <c r="AH59" s="2895"/>
      <c r="AI59" s="2895"/>
      <c r="AJ59" s="2895"/>
      <c r="AK59" s="2895"/>
      <c r="AL59" s="2895"/>
      <c r="AM59" s="2895"/>
      <c r="AS59" s="1558">
        <v>27</v>
      </c>
    </row>
    <row r="60" spans="1:45" ht="65.25" customHeight="1">
      <c r="O60" s="1562"/>
      <c r="T60" s="2895"/>
      <c r="U60" s="2895"/>
      <c r="V60" s="2895"/>
      <c r="W60" s="2895"/>
      <c r="X60" s="2895"/>
      <c r="Y60" s="2895"/>
      <c r="Z60" s="2895"/>
      <c r="AA60" s="2895"/>
      <c r="AB60" s="2895"/>
      <c r="AC60" s="2895"/>
      <c r="AD60" s="2895"/>
      <c r="AE60" s="2895"/>
      <c r="AF60" s="2895"/>
      <c r="AG60" s="2895"/>
      <c r="AH60" s="2895"/>
      <c r="AI60" s="2895"/>
      <c r="AJ60" s="2895"/>
      <c r="AK60" s="2895"/>
      <c r="AL60" s="2895"/>
      <c r="AM60" s="2895"/>
      <c r="AS60" s="1558">
        <v>62</v>
      </c>
    </row>
    <row r="61" spans="1:45" ht="15" customHeight="1">
      <c r="O61" s="1562"/>
      <c r="AS61" s="1558">
        <v>14</v>
      </c>
    </row>
    <row r="62" spans="1:45" ht="18.75" customHeight="1">
      <c r="O62" s="1562"/>
      <c r="S62" s="1180"/>
      <c r="T62" s="2895"/>
      <c r="U62" s="2895"/>
      <c r="V62" s="2895"/>
      <c r="W62" s="2895"/>
      <c r="X62" s="2895"/>
      <c r="Y62" s="2895"/>
      <c r="Z62" s="2895"/>
      <c r="AA62" s="2895"/>
      <c r="AB62" s="2895"/>
      <c r="AC62" s="2895"/>
      <c r="AD62" s="2895"/>
      <c r="AE62" s="2895"/>
      <c r="AF62" s="2895"/>
      <c r="AG62" s="2895"/>
      <c r="AH62" s="2895"/>
      <c r="AI62" s="2895"/>
      <c r="AJ62" s="2895"/>
      <c r="AK62" s="2895"/>
      <c r="AL62" s="2895"/>
      <c r="AM62" s="2895"/>
      <c r="AS62" s="1558">
        <v>18</v>
      </c>
    </row>
    <row r="63" spans="1:45" ht="18.75" customHeight="1">
      <c r="O63" s="1562"/>
      <c r="T63" s="2895"/>
      <c r="U63" s="2895"/>
      <c r="V63" s="2895"/>
      <c r="W63" s="2895"/>
      <c r="X63" s="2895"/>
      <c r="Y63" s="2895"/>
      <c r="Z63" s="2895"/>
      <c r="AA63" s="2895"/>
      <c r="AB63" s="2895"/>
      <c r="AC63" s="2895"/>
      <c r="AD63" s="2895"/>
      <c r="AE63" s="2895"/>
      <c r="AF63" s="2895"/>
      <c r="AG63" s="2895"/>
      <c r="AH63" s="2895"/>
      <c r="AI63" s="2895"/>
      <c r="AJ63" s="2895"/>
      <c r="AK63" s="2895"/>
      <c r="AL63" s="2895"/>
      <c r="AM63" s="2895"/>
      <c r="AS63" s="1558">
        <v>18</v>
      </c>
    </row>
    <row r="64" spans="1:45" ht="29.25" customHeight="1">
      <c r="O64" s="1562"/>
      <c r="S64" s="1180"/>
      <c r="T64" s="2895"/>
      <c r="U64" s="2895"/>
      <c r="V64" s="2895"/>
      <c r="W64" s="2895"/>
      <c r="X64" s="2895"/>
      <c r="Y64" s="2895"/>
      <c r="Z64" s="2895"/>
      <c r="AA64" s="2895"/>
      <c r="AB64" s="2895"/>
      <c r="AC64" s="2895"/>
      <c r="AD64" s="2895"/>
      <c r="AE64" s="2895"/>
      <c r="AF64" s="2895"/>
      <c r="AG64" s="2895"/>
      <c r="AH64" s="2895"/>
      <c r="AI64" s="2895"/>
      <c r="AJ64" s="2895"/>
      <c r="AK64" s="2895"/>
      <c r="AL64" s="2895"/>
      <c r="AM64" s="2895"/>
      <c r="AS64" s="1558">
        <v>28</v>
      </c>
    </row>
    <row r="65" spans="1:45" ht="22.5" hidden="1" customHeight="1">
      <c r="A65" s="1558" t="s">
        <v>87</v>
      </c>
      <c r="B65" s="1558">
        <v>0</v>
      </c>
      <c r="C65" s="1558">
        <v>0</v>
      </c>
      <c r="D65" s="1558">
        <v>0</v>
      </c>
      <c r="E65" s="1558">
        <v>0</v>
      </c>
      <c r="F65" s="1558">
        <v>0</v>
      </c>
      <c r="G65" s="1558">
        <v>0</v>
      </c>
      <c r="H65" s="1558">
        <v>0</v>
      </c>
      <c r="I65" s="1558">
        <v>0</v>
      </c>
      <c r="J65" s="1558">
        <v>0</v>
      </c>
      <c r="K65" s="1558">
        <v>0</v>
      </c>
      <c r="L65" s="1861">
        <v>0</v>
      </c>
      <c r="M65" s="1887">
        <v>0</v>
      </c>
      <c r="N65" s="1887">
        <v>0</v>
      </c>
      <c r="O65" s="1887">
        <v>0</v>
      </c>
      <c r="P65" s="1887">
        <v>3</v>
      </c>
      <c r="Q65" s="282">
        <v>3</v>
      </c>
      <c r="R65" s="282">
        <v>3</v>
      </c>
      <c r="S65" s="518">
        <v>12</v>
      </c>
      <c r="T65" s="1558">
        <v>31</v>
      </c>
      <c r="U65" s="1558">
        <v>0</v>
      </c>
      <c r="V65" s="1558">
        <v>0</v>
      </c>
      <c r="W65" s="1558">
        <v>0</v>
      </c>
      <c r="X65" s="1558">
        <v>0</v>
      </c>
      <c r="Y65" s="1558">
        <v>0</v>
      </c>
      <c r="Z65" s="1558">
        <v>0</v>
      </c>
      <c r="AA65" s="1558">
        <v>0</v>
      </c>
      <c r="AB65" s="1558">
        <v>0</v>
      </c>
      <c r="AC65" s="1558">
        <v>0</v>
      </c>
      <c r="AD65" s="1558">
        <v>24</v>
      </c>
      <c r="AE65" s="1558">
        <v>0</v>
      </c>
      <c r="AF65" s="1558">
        <v>24</v>
      </c>
      <c r="AG65" s="1558">
        <v>24</v>
      </c>
      <c r="AH65" s="1558">
        <v>11</v>
      </c>
      <c r="AI65" s="1558">
        <v>3</v>
      </c>
      <c r="AJ65" s="1558">
        <v>11</v>
      </c>
      <c r="AK65" s="1558">
        <v>0</v>
      </c>
      <c r="AL65" s="1558">
        <v>4</v>
      </c>
      <c r="AM65" s="1558">
        <v>115</v>
      </c>
      <c r="AN65" s="1563">
        <v>10</v>
      </c>
      <c r="AO65" s="1563">
        <v>10</v>
      </c>
      <c r="AP65" s="1563">
        <v>10</v>
      </c>
      <c r="AQ65" s="1563">
        <v>10</v>
      </c>
      <c r="AR65" s="1563">
        <v>10</v>
      </c>
      <c r="AS65" s="1558">
        <v>23</v>
      </c>
    </row>
  </sheetData>
  <sheetProtection insertRows="0" deleteColumns="0" deleteRows="0" sort="0" autoFilter="0"/>
  <mergeCells count="112">
    <mergeCell ref="T63:AM63"/>
    <mergeCell ref="T64:AM64"/>
    <mergeCell ref="AJ49:AJ50"/>
    <mergeCell ref="AK49:AK50"/>
    <mergeCell ref="AM49:AM51"/>
    <mergeCell ref="T59:AM59"/>
    <mergeCell ref="T60:AM60"/>
    <mergeCell ref="T62:AM62"/>
    <mergeCell ref="Q48:Q51"/>
    <mergeCell ref="V48:AC48"/>
    <mergeCell ref="AD48:AL48"/>
    <mergeCell ref="J48:J51"/>
    <mergeCell ref="AI41:AJ41"/>
    <mergeCell ref="AA42:AB42"/>
    <mergeCell ref="AI42:AJ42"/>
    <mergeCell ref="K49:K50"/>
    <mergeCell ref="Z49:Z50"/>
    <mergeCell ref="AA49:AA50"/>
    <mergeCell ref="AB49:AB50"/>
    <mergeCell ref="AC49:AC50"/>
    <mergeCell ref="AH49:AH50"/>
    <mergeCell ref="AI49:AI50"/>
    <mergeCell ref="V45:AC45"/>
    <mergeCell ref="AD45:AL45"/>
    <mergeCell ref="E43:E56"/>
    <mergeCell ref="V43:AC43"/>
    <mergeCell ref="AD43:AL43"/>
    <mergeCell ref="F44:F55"/>
    <mergeCell ref="V44:AC44"/>
    <mergeCell ref="AD44:AL44"/>
    <mergeCell ref="G45:G54"/>
    <mergeCell ref="AL39:AL41"/>
    <mergeCell ref="V40:V41"/>
    <mergeCell ref="W40:W41"/>
    <mergeCell ref="X40:Y40"/>
    <mergeCell ref="Z40:AB40"/>
    <mergeCell ref="AD40:AD41"/>
    <mergeCell ref="AE40:AE41"/>
    <mergeCell ref="AF40:AG40"/>
    <mergeCell ref="AH40:AJ40"/>
    <mergeCell ref="AA41:AB41"/>
    <mergeCell ref="H46:H53"/>
    <mergeCell ref="V46:AC46"/>
    <mergeCell ref="AD46:AL46"/>
    <mergeCell ref="I47:I52"/>
    <mergeCell ref="P47:P52"/>
    <mergeCell ref="V47:AC47"/>
    <mergeCell ref="AD47:AL47"/>
    <mergeCell ref="V37:AC37"/>
    <mergeCell ref="AD37:AK37"/>
    <mergeCell ref="S38:AL38"/>
    <mergeCell ref="AM38:AM41"/>
    <mergeCell ref="S39:S41"/>
    <mergeCell ref="T39:T41"/>
    <mergeCell ref="V39:AB39"/>
    <mergeCell ref="AC39:AC41"/>
    <mergeCell ref="AD39:AJ39"/>
    <mergeCell ref="AK39:AK41"/>
    <mergeCell ref="S34:T34"/>
    <mergeCell ref="V34:AB34"/>
    <mergeCell ref="AD34:AJ34"/>
    <mergeCell ref="S35:T35"/>
    <mergeCell ref="V35:AB35"/>
    <mergeCell ref="AD35:AJ35"/>
    <mergeCell ref="S31:T31"/>
    <mergeCell ref="V31:AB31"/>
    <mergeCell ref="AD31:AJ31"/>
    <mergeCell ref="S32:T32"/>
    <mergeCell ref="V32:AB32"/>
    <mergeCell ref="AD32:AJ32"/>
    <mergeCell ref="S26:AJ26"/>
    <mergeCell ref="S27:AJ27"/>
    <mergeCell ref="S29:T29"/>
    <mergeCell ref="V29:AB29"/>
    <mergeCell ref="AD29:AJ29"/>
    <mergeCell ref="S30:T30"/>
    <mergeCell ref="V30:AB30"/>
    <mergeCell ref="AD30:AJ30"/>
    <mergeCell ref="AI8:AI9"/>
    <mergeCell ref="AJ8:AJ9"/>
    <mergeCell ref="AM8:AM10"/>
    <mergeCell ref="AH17:AH18"/>
    <mergeCell ref="AI17:AI18"/>
    <mergeCell ref="AJ17:AJ18"/>
    <mergeCell ref="AK17:AK18"/>
    <mergeCell ref="K8:K9"/>
    <mergeCell ref="Z8:Z9"/>
    <mergeCell ref="AA8:AA9"/>
    <mergeCell ref="AB8:AB9"/>
    <mergeCell ref="AC8:AC9"/>
    <mergeCell ref="AH8:AH9"/>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J7:J10"/>
    <mergeCell ref="Q7:Q10"/>
    <mergeCell ref="V7:AC7"/>
    <mergeCell ref="AD7:AL7"/>
    <mergeCell ref="AK8:AK9"/>
  </mergeCells>
  <dataValidations count="8">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27729 AK393265 AK49 AK524337 AK8 AK589873 AK655409 AK17 AK720945 AK786481 AK852017 AK917553 AK983089 AK65585 AK131121 AI49 AK458801 AI8 AC8 AA8 AI17 AK196657 AA49 AC49 AK262193"/>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5"/>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1" style="1562" customWidth="1"/>
    <col min="21" max="21" width="0.7109375" style="1562" hidden="1" customWidth="1"/>
    <col min="22" max="22" width="1.7109375" style="1562" hidden="1" customWidth="1"/>
    <col min="23" max="23" width="24.7109375" style="1562" hidden="1" customWidth="1"/>
    <col min="24" max="25" width="0.14062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0.140625" style="1562" customWidth="1"/>
    <col min="31" max="31" width="24" style="1562" customWidth="1"/>
    <col min="32" max="33" width="0.140625"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896">
        <v>1</v>
      </c>
      <c r="F2" s="1290"/>
      <c r="G2" s="1290"/>
      <c r="H2" s="1290"/>
      <c r="I2" s="1290"/>
      <c r="J2" s="1290"/>
      <c r="K2" s="1290"/>
      <c r="L2" s="1291"/>
      <c r="M2" s="1292"/>
      <c r="N2" s="1292"/>
      <c r="O2" s="1292"/>
      <c r="P2" s="298"/>
      <c r="Q2" s="297"/>
      <c r="R2" s="292"/>
      <c r="S2" s="1263" t="e">
        <f>INDEX(PT_DIFFERENTIATION_NUM_NTAR,MATCH(A2,PT_DIFFERENTIATION_NTAR_ID,0))</f>
        <v>#N/A</v>
      </c>
      <c r="T2" s="236" t="s">
        <v>128</v>
      </c>
      <c r="U2" s="238"/>
      <c r="V2" s="2890"/>
      <c r="W2" s="2891"/>
      <c r="X2" s="2891"/>
      <c r="Y2" s="2891"/>
      <c r="Z2" s="2891"/>
      <c r="AA2" s="2891"/>
      <c r="AB2" s="2891"/>
      <c r="AC2" s="2892"/>
      <c r="AD2" s="2890" t="e">
        <f>INDEX(PT_DIFFERENTIATION_NTAR,MATCH(A2,PT_DIFFERENTIATION_NTAR_ID,0))</f>
        <v>#N/A</v>
      </c>
      <c r="AE2" s="2891"/>
      <c r="AF2" s="2891"/>
      <c r="AG2" s="2891"/>
      <c r="AH2" s="2891"/>
      <c r="AI2" s="2891"/>
      <c r="AJ2" s="2891"/>
      <c r="AK2" s="2891"/>
      <c r="AL2" s="2892"/>
      <c r="AM2" s="1185" t="s">
        <v>441</v>
      </c>
      <c r="AO2" s="437"/>
      <c r="AP2" s="437" t="str">
        <f t="shared" ref="AP2:AP15" si="0">IF(T2="","",T2)</f>
        <v>Наименование тарифа</v>
      </c>
      <c r="AQ2" s="437"/>
      <c r="AR2" s="437"/>
      <c r="AS2" s="1082">
        <v>0</v>
      </c>
    </row>
    <row r="3" spans="1:45" ht="21" hidden="1" customHeight="1">
      <c r="A3" s="1290"/>
      <c r="B3" s="1290"/>
      <c r="C3" s="1290"/>
      <c r="D3" s="1290"/>
      <c r="E3" s="2897"/>
      <c r="F3" s="2896">
        <v>1</v>
      </c>
      <c r="G3" s="1290"/>
      <c r="H3" s="1290"/>
      <c r="I3" s="1290"/>
      <c r="J3" s="1290"/>
      <c r="K3" s="1290"/>
      <c r="L3" s="1291"/>
      <c r="M3" s="1292"/>
      <c r="N3" s="1292"/>
      <c r="O3" s="1292"/>
      <c r="P3" s="1259"/>
      <c r="Q3" s="289"/>
      <c r="R3" s="290"/>
      <c r="S3" s="1263" t="e">
        <f>INDEX(PT_DIFFERENTIATION_NUM_TER,MATCH(B3,PT_DIFFERENTIATION_TER_ID,0))</f>
        <v>#N/A</v>
      </c>
      <c r="T3" s="246" t="s">
        <v>442</v>
      </c>
      <c r="U3" s="238"/>
      <c r="V3" s="2890"/>
      <c r="W3" s="2891"/>
      <c r="X3" s="2891"/>
      <c r="Y3" s="2891"/>
      <c r="Z3" s="2891"/>
      <c r="AA3" s="2891"/>
      <c r="AB3" s="2891"/>
      <c r="AC3" s="2892"/>
      <c r="AD3" s="2890" t="e">
        <f>INDEX(PT_DIFFERENTIATION_TER,MATCH(B3,PT_DIFFERENTIATION_TER_ID,0))</f>
        <v>#N/A</v>
      </c>
      <c r="AE3" s="2891"/>
      <c r="AF3" s="2891"/>
      <c r="AG3" s="2891"/>
      <c r="AH3" s="2891"/>
      <c r="AI3" s="2891"/>
      <c r="AJ3" s="2891"/>
      <c r="AK3" s="2891"/>
      <c r="AL3" s="2892"/>
      <c r="AM3" s="1185" t="s">
        <v>443</v>
      </c>
      <c r="AO3" s="437"/>
      <c r="AP3" s="437" t="str">
        <f t="shared" si="0"/>
        <v>Территория действия тарифа</v>
      </c>
      <c r="AQ3" s="437"/>
      <c r="AR3" s="437"/>
      <c r="AS3" s="1082">
        <v>0</v>
      </c>
    </row>
    <row r="4" spans="1:45" ht="23.25" hidden="1" customHeight="1">
      <c r="A4" s="1290"/>
      <c r="B4" s="1290"/>
      <c r="C4" s="1290"/>
      <c r="D4" s="1290"/>
      <c r="E4" s="2897"/>
      <c r="F4" s="2897"/>
      <c r="G4" s="2896">
        <v>1</v>
      </c>
      <c r="H4" s="1290"/>
      <c r="I4" s="1290"/>
      <c r="J4" s="1290"/>
      <c r="K4" s="1290"/>
      <c r="L4" s="1291"/>
      <c r="M4" s="1292"/>
      <c r="N4" s="1292"/>
      <c r="O4" s="1292"/>
      <c r="P4" s="291"/>
      <c r="Q4" s="289"/>
      <c r="R4" s="290"/>
      <c r="S4" s="1263" t="e">
        <f>INDEX(PT_DIFFERENTIATION_NUM_CS,MATCH(C4,PT_DIFFERENTIATION_CS_ID,0))</f>
        <v>#N/A</v>
      </c>
      <c r="T4" s="247" t="s">
        <v>444</v>
      </c>
      <c r="U4" s="238"/>
      <c r="V4" s="2890"/>
      <c r="W4" s="2891"/>
      <c r="X4" s="2891"/>
      <c r="Y4" s="2891"/>
      <c r="Z4" s="2891"/>
      <c r="AA4" s="2891"/>
      <c r="AB4" s="2891"/>
      <c r="AC4" s="2892"/>
      <c r="AD4" s="2890" t="e">
        <f>INDEX(PT_DIFFERENTIATION_CS,MATCH(C4,PT_DIFFERENTIATION_CS_ID,0))</f>
        <v>#N/A</v>
      </c>
      <c r="AE4" s="2891"/>
      <c r="AF4" s="2891"/>
      <c r="AG4" s="2891"/>
      <c r="AH4" s="2891"/>
      <c r="AI4" s="2891"/>
      <c r="AJ4" s="2891"/>
      <c r="AK4" s="2891"/>
      <c r="AL4" s="2892"/>
      <c r="AM4" s="1185" t="s">
        <v>445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97"/>
      <c r="F5" s="2897"/>
      <c r="G5" s="2897"/>
      <c r="H5" s="2896">
        <v>1</v>
      </c>
      <c r="I5" s="1290"/>
      <c r="J5" s="1290"/>
      <c r="K5" s="1290"/>
      <c r="L5" s="1291"/>
      <c r="M5" s="1292"/>
      <c r="N5" s="1292"/>
      <c r="O5" s="1292"/>
      <c r="P5" s="291"/>
      <c r="Q5" s="289"/>
      <c r="R5" s="290"/>
      <c r="S5" s="1263" t="e">
        <f>INDEX(PT_DIFFERENTIATION_NUM_IST_TE,MATCH(D5,PT_DIFFERENTIATION_IST_TE_ID,0))</f>
        <v>#N/A</v>
      </c>
      <c r="T5" s="248" t="s">
        <v>446</v>
      </c>
      <c r="U5" s="238"/>
      <c r="V5" s="2890"/>
      <c r="W5" s="2891"/>
      <c r="X5" s="2891"/>
      <c r="Y5" s="2891"/>
      <c r="Z5" s="2891"/>
      <c r="AA5" s="2891"/>
      <c r="AB5" s="2891"/>
      <c r="AC5" s="2892"/>
      <c r="AD5" s="2890" t="e">
        <f>INDEX(PT_DIFFERENTIATION_IST_TE,MATCH(D5,PT_DIFFERENTIATION_IST_TE_ID,0))</f>
        <v>#N/A</v>
      </c>
      <c r="AE5" s="2891"/>
      <c r="AF5" s="2891"/>
      <c r="AG5" s="2891"/>
      <c r="AH5" s="2891"/>
      <c r="AI5" s="2891"/>
      <c r="AJ5" s="2891"/>
      <c r="AK5" s="2891"/>
      <c r="AL5" s="2892"/>
      <c r="AM5" s="1185" t="s">
        <v>447</v>
      </c>
      <c r="AO5" s="437"/>
      <c r="AP5" s="437" t="str">
        <f t="shared" si="0"/>
        <v xml:space="preserve">Источник тепловой энергии  </v>
      </c>
      <c r="AQ5" s="437"/>
      <c r="AR5" s="437"/>
      <c r="AS5" s="1082">
        <v>0</v>
      </c>
    </row>
    <row r="6" spans="1:45" ht="47.25" hidden="1" customHeight="1">
      <c r="A6" s="1290"/>
      <c r="B6" s="1290"/>
      <c r="C6" s="1290"/>
      <c r="D6" s="1290"/>
      <c r="E6" s="2897"/>
      <c r="F6" s="2897"/>
      <c r="G6" s="2897"/>
      <c r="H6" s="2897"/>
      <c r="I6" s="2898" t="e">
        <f>S5&amp;".1"</f>
        <v>#N/A</v>
      </c>
      <c r="J6" s="1290"/>
      <c r="K6" s="1290"/>
      <c r="L6" s="1291" t="s">
        <v>448</v>
      </c>
      <c r="M6" s="474"/>
      <c r="P6" s="2900">
        <v>1</v>
      </c>
      <c r="Q6" s="1258"/>
      <c r="R6" s="293"/>
      <c r="S6" s="1263" t="e">
        <f>$I6</f>
        <v>#N/A</v>
      </c>
      <c r="T6" s="223" t="s">
        <v>449</v>
      </c>
      <c r="U6" s="238"/>
      <c r="V6" s="2884"/>
      <c r="W6" s="2885"/>
      <c r="X6" s="2885"/>
      <c r="Y6" s="2885"/>
      <c r="Z6" s="2885"/>
      <c r="AA6" s="2885"/>
      <c r="AB6" s="2885"/>
      <c r="AC6" s="2886"/>
      <c r="AD6" s="2884"/>
      <c r="AE6" s="2885"/>
      <c r="AF6" s="2885"/>
      <c r="AG6" s="2885"/>
      <c r="AH6" s="2885"/>
      <c r="AI6" s="2885"/>
      <c r="AJ6" s="2885"/>
      <c r="AK6" s="2885"/>
      <c r="AL6" s="2886"/>
      <c r="AM6" s="1185" t="s">
        <v>450</v>
      </c>
      <c r="AO6" s="437"/>
      <c r="AP6" s="437" t="str">
        <f t="shared" si="0"/>
        <v>Схема подключения теплопотребляющей установки к коллектору источника тепловой энергии</v>
      </c>
      <c r="AQ6" s="437"/>
      <c r="AR6" s="437"/>
      <c r="AS6" s="1082">
        <v>0</v>
      </c>
    </row>
    <row r="7" spans="1:45" ht="21" hidden="1" customHeight="1">
      <c r="A7" s="1290"/>
      <c r="B7" s="1290"/>
      <c r="C7" s="1290"/>
      <c r="D7" s="1290"/>
      <c r="E7" s="2897"/>
      <c r="F7" s="2897"/>
      <c r="G7" s="2897"/>
      <c r="H7" s="2897"/>
      <c r="I7" s="2899"/>
      <c r="J7" s="2898" t="e">
        <f>I6&amp;".1"</f>
        <v>#N/A</v>
      </c>
      <c r="K7" s="1290"/>
      <c r="L7" s="1291" t="s">
        <v>451</v>
      </c>
      <c r="M7" s="474"/>
      <c r="N7" s="1293"/>
      <c r="P7" s="2900"/>
      <c r="Q7" s="2900">
        <v>1</v>
      </c>
      <c r="R7" s="294"/>
      <c r="S7" s="1263" t="e">
        <f>$J7</f>
        <v>#N/A</v>
      </c>
      <c r="T7" s="224" t="s">
        <v>452</v>
      </c>
      <c r="U7" s="238"/>
      <c r="V7" s="2884"/>
      <c r="W7" s="2885"/>
      <c r="X7" s="2885"/>
      <c r="Y7" s="2885"/>
      <c r="Z7" s="2885"/>
      <c r="AA7" s="2885"/>
      <c r="AB7" s="2885"/>
      <c r="AC7" s="2886"/>
      <c r="AD7" s="2884"/>
      <c r="AE7" s="2885"/>
      <c r="AF7" s="2885"/>
      <c r="AG7" s="2885"/>
      <c r="AH7" s="2885"/>
      <c r="AI7" s="2885"/>
      <c r="AJ7" s="2885"/>
      <c r="AK7" s="2885"/>
      <c r="AL7" s="2886"/>
      <c r="AM7" s="1185" t="s">
        <v>453</v>
      </c>
      <c r="AO7" s="437"/>
      <c r="AP7" s="437" t="str">
        <f t="shared" si="0"/>
        <v>Группа потребителей</v>
      </c>
      <c r="AQ7" s="437"/>
      <c r="AR7" s="437"/>
      <c r="AS7" s="1082">
        <v>0</v>
      </c>
    </row>
    <row r="8" spans="1:45" ht="21" hidden="1" customHeight="1">
      <c r="A8" s="1290"/>
      <c r="B8" s="1290"/>
      <c r="C8" s="1290"/>
      <c r="D8" s="1290"/>
      <c r="E8" s="2897"/>
      <c r="F8" s="2897"/>
      <c r="G8" s="2897"/>
      <c r="H8" s="2897"/>
      <c r="I8" s="2899"/>
      <c r="J8" s="2899"/>
      <c r="K8" s="2898" t="e">
        <f>J7&amp;".1"</f>
        <v>#N/A</v>
      </c>
      <c r="L8" s="1291" t="s">
        <v>454</v>
      </c>
      <c r="M8" s="474"/>
      <c r="N8" s="1293"/>
      <c r="O8" s="1293"/>
      <c r="P8" s="2900"/>
      <c r="Q8" s="2900"/>
      <c r="R8" s="294">
        <v>1</v>
      </c>
      <c r="S8" s="1263" t="e">
        <f>$K8</f>
        <v>#N/A</v>
      </c>
      <c r="T8" s="1274"/>
      <c r="U8" s="238"/>
      <c r="V8" s="263"/>
      <c r="W8" s="688"/>
      <c r="X8" s="263"/>
      <c r="Y8" s="321"/>
      <c r="Z8" s="2901"/>
      <c r="AA8" s="2768" t="s">
        <v>71</v>
      </c>
      <c r="AB8" s="2901"/>
      <c r="AC8" s="2768" t="s">
        <v>71</v>
      </c>
      <c r="AD8" s="263"/>
      <c r="AE8" s="688"/>
      <c r="AF8" s="263"/>
      <c r="AG8" s="321"/>
      <c r="AH8" s="2901"/>
      <c r="AI8" s="2768" t="s">
        <v>71</v>
      </c>
      <c r="AJ8" s="2901"/>
      <c r="AK8" s="2768" t="s">
        <v>71</v>
      </c>
      <c r="AL8" s="263"/>
      <c r="AM8" s="2919" t="s">
        <v>455</v>
      </c>
      <c r="AN8" s="448" t="e">
        <f ca="1">STRCHECKDATE(V9:AL9)</f>
        <v>#NAME?</v>
      </c>
      <c r="AO8" s="437"/>
      <c r="AP8" s="437" t="str">
        <f t="shared" si="0"/>
        <v/>
      </c>
      <c r="AQ8" s="437"/>
      <c r="AR8" s="437"/>
      <c r="AS8" s="1082">
        <v>0</v>
      </c>
    </row>
    <row r="9" spans="1:45" ht="0.75" hidden="1" customHeight="1">
      <c r="A9" s="1290"/>
      <c r="B9" s="1290"/>
      <c r="C9" s="1290"/>
      <c r="D9" s="1290"/>
      <c r="E9" s="2897"/>
      <c r="F9" s="2897"/>
      <c r="G9" s="2897"/>
      <c r="H9" s="2897"/>
      <c r="I9" s="2899"/>
      <c r="J9" s="2899"/>
      <c r="K9" s="2898"/>
      <c r="L9" s="1291"/>
      <c r="M9" s="474"/>
      <c r="N9" s="1293"/>
      <c r="O9" s="1293"/>
      <c r="P9" s="2900"/>
      <c r="Q9" s="2900"/>
      <c r="R9" s="294"/>
      <c r="S9" s="1269"/>
      <c r="T9" s="238"/>
      <c r="U9" s="238"/>
      <c r="V9" s="263"/>
      <c r="W9" s="263"/>
      <c r="X9" s="263"/>
      <c r="Y9" s="266" t="str">
        <f>Z8&amp;"-"&amp;AB8</f>
        <v>-</v>
      </c>
      <c r="Z9" s="2902"/>
      <c r="AA9" s="2768"/>
      <c r="AB9" s="2902"/>
      <c r="AC9" s="2768"/>
      <c r="AD9" s="263"/>
      <c r="AE9" s="263"/>
      <c r="AF9" s="263"/>
      <c r="AG9" s="266" t="str">
        <f>AH8&amp;"-"&amp;AJ8</f>
        <v>-</v>
      </c>
      <c r="AH9" s="2902"/>
      <c r="AI9" s="2768"/>
      <c r="AJ9" s="2902"/>
      <c r="AK9" s="2768"/>
      <c r="AL9" s="263"/>
      <c r="AM9" s="2920"/>
      <c r="AO9" s="437"/>
      <c r="AP9" s="437" t="str">
        <f t="shared" si="0"/>
        <v/>
      </c>
      <c r="AQ9" s="437"/>
      <c r="AR9" s="437"/>
      <c r="AS9" s="1082">
        <v>0</v>
      </c>
    </row>
    <row r="10" spans="1:45" ht="15" hidden="1" customHeight="1">
      <c r="A10" s="1290"/>
      <c r="B10" s="1290"/>
      <c r="C10" s="1290"/>
      <c r="D10" s="1290"/>
      <c r="E10" s="2897"/>
      <c r="F10" s="2897"/>
      <c r="G10" s="2897"/>
      <c r="H10" s="2897"/>
      <c r="I10" s="2899"/>
      <c r="J10" s="2898"/>
      <c r="K10" s="1290"/>
      <c r="L10" s="1291"/>
      <c r="M10" s="474"/>
      <c r="N10" s="1293"/>
      <c r="P10" s="2900"/>
      <c r="Q10" s="2900"/>
      <c r="R10" s="293"/>
      <c r="S10" s="1205"/>
      <c r="T10" s="226" t="s">
        <v>456</v>
      </c>
      <c r="U10" s="304"/>
      <c r="V10" s="304"/>
      <c r="W10" s="304"/>
      <c r="X10" s="304"/>
      <c r="Y10" s="304"/>
      <c r="Z10" s="304"/>
      <c r="AA10" s="304"/>
      <c r="AB10" s="304"/>
      <c r="AC10" s="304"/>
      <c r="AD10" s="304"/>
      <c r="AE10" s="304"/>
      <c r="AF10" s="304"/>
      <c r="AG10" s="304"/>
      <c r="AH10" s="304"/>
      <c r="AI10" s="304"/>
      <c r="AJ10" s="304"/>
      <c r="AK10" s="304"/>
      <c r="AL10" s="262"/>
      <c r="AM10" s="292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97"/>
      <c r="F11" s="2897"/>
      <c r="G11" s="2897"/>
      <c r="H11" s="2897"/>
      <c r="I11" s="2898"/>
      <c r="J11" s="1290"/>
      <c r="K11" s="1290"/>
      <c r="L11" s="1291"/>
      <c r="M11" s="474"/>
      <c r="P11" s="2900"/>
      <c r="Q11" s="1258"/>
      <c r="R11" s="293"/>
      <c r="S11" s="1205"/>
      <c r="T11" s="225" t="s">
        <v>457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897"/>
      <c r="F12" s="2897"/>
      <c r="G12" s="2897"/>
      <c r="H12" s="2896"/>
      <c r="I12" s="1290"/>
      <c r="J12" s="1290"/>
      <c r="K12" s="1290"/>
      <c r="L12" s="1291"/>
      <c r="M12" s="1292"/>
      <c r="N12" s="1292"/>
      <c r="O12" s="474"/>
      <c r="P12" s="297"/>
      <c r="Q12" s="312"/>
      <c r="R12" s="292"/>
      <c r="S12" s="1205"/>
      <c r="T12" s="302" t="s">
        <v>458</v>
      </c>
      <c r="U12" s="304"/>
      <c r="V12" s="304"/>
      <c r="W12" s="304"/>
      <c r="X12" s="304"/>
      <c r="Y12" s="304"/>
      <c r="Z12" s="304"/>
      <c r="AA12" s="304"/>
      <c r="AB12" s="304"/>
      <c r="AC12" s="303"/>
      <c r="AD12" s="304"/>
      <c r="AE12" s="304"/>
      <c r="AF12" s="304"/>
      <c r="AG12" s="304"/>
      <c r="AH12" s="304"/>
      <c r="AI12" s="304"/>
      <c r="AJ12" s="304"/>
      <c r="AK12" s="303"/>
      <c r="AL12" s="304"/>
      <c r="AM12" s="241"/>
      <c r="AO12" s="437"/>
      <c r="AP12" s="437" t="str">
        <f t="shared" si="0"/>
        <v>Добавить схему подключения</v>
      </c>
      <c r="AQ12" s="437"/>
      <c r="AR12" s="437"/>
      <c r="AS12" s="1082">
        <v>0</v>
      </c>
    </row>
    <row r="13" spans="1:45" s="1569" customFormat="1" ht="0.75" hidden="1" customHeight="1">
      <c r="A13" s="1241"/>
      <c r="B13" s="1241"/>
      <c r="C13" s="1241"/>
      <c r="D13" s="1241"/>
      <c r="E13" s="2897"/>
      <c r="F13" s="2897"/>
      <c r="G13" s="2896"/>
      <c r="H13" s="1241"/>
      <c r="I13" s="1241"/>
      <c r="J13" s="1241"/>
      <c r="K13" s="1241"/>
      <c r="L13" s="1266"/>
      <c r="M13" s="1242"/>
      <c r="N13" s="1242"/>
      <c r="P13" s="1243"/>
      <c r="Q13" s="1244"/>
      <c r="R13" s="1243"/>
      <c r="S13" s="1245"/>
      <c r="T13" s="1246" t="s">
        <v>174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97"/>
      <c r="F14" s="2896"/>
      <c r="G14" s="1241"/>
      <c r="H14" s="1241"/>
      <c r="I14" s="1241"/>
      <c r="J14" s="1241"/>
      <c r="K14" s="1241"/>
      <c r="L14" s="1266"/>
      <c r="M14" s="1248"/>
      <c r="N14" s="1248"/>
      <c r="P14" s="1243"/>
      <c r="Q14" s="1244"/>
      <c r="R14" s="1243"/>
      <c r="S14" s="1249"/>
      <c r="T14" s="1250" t="s">
        <v>176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96"/>
      <c r="F15" s="1241"/>
      <c r="G15" s="1241"/>
      <c r="H15" s="1241"/>
      <c r="I15" s="1241"/>
      <c r="J15" s="1241"/>
      <c r="K15" s="1241"/>
      <c r="L15" s="1266"/>
      <c r="M15" s="1248"/>
      <c r="N15" s="1248"/>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894"/>
      <c r="AI17" s="2893" t="s">
        <v>71</v>
      </c>
      <c r="AJ17" s="2894"/>
      <c r="AK17" s="2893" t="s">
        <v>71</v>
      </c>
      <c r="AS17" s="1082">
        <v>0</v>
      </c>
    </row>
    <row r="18" spans="1:45" ht="14.25" hidden="1" customHeight="1">
      <c r="AD18" s="1287"/>
      <c r="AE18" s="1287"/>
      <c r="AF18" s="1287"/>
      <c r="AG18" s="266" t="str">
        <f>AH17&amp;"-"&amp;AJ17</f>
        <v>-</v>
      </c>
      <c r="AH18" s="2893"/>
      <c r="AI18" s="2893"/>
      <c r="AJ18" s="2893"/>
      <c r="AK18" s="2893"/>
      <c r="AS18" s="1082">
        <v>0</v>
      </c>
    </row>
    <row r="19" spans="1:45" ht="14.25" hidden="1" customHeight="1">
      <c r="AK19" s="265"/>
      <c r="AS19" s="1082">
        <v>0</v>
      </c>
    </row>
    <row r="20" spans="1:45" s="1293" customFormat="1" ht="22.5" hidden="1" customHeight="1">
      <c r="L20" s="1256"/>
      <c r="M20" s="1289"/>
      <c r="N20" s="1289"/>
      <c r="O20" s="1294" t="s">
        <v>459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33.75" hidden="1" customHeight="1">
      <c r="L22" s="1256"/>
      <c r="M22" s="1289"/>
      <c r="N22" s="1289"/>
      <c r="O22" s="1291" t="s">
        <v>460</v>
      </c>
      <c r="P22" s="1289"/>
      <c r="Q22" s="1298"/>
      <c r="R22" s="1298"/>
      <c r="S22" s="666"/>
      <c r="T22" s="1087" t="s">
        <v>461</v>
      </c>
      <c r="AA22" s="124" t="s">
        <v>462</v>
      </c>
      <c r="AC22" s="124" t="s">
        <v>463</v>
      </c>
      <c r="AD22" s="1087" t="s">
        <v>461</v>
      </c>
      <c r="AI22" s="124" t="s">
        <v>464</v>
      </c>
      <c r="AK22" s="124" t="s">
        <v>463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29.25" customHeight="1">
      <c r="Q26" s="313"/>
      <c r="R26" s="313"/>
      <c r="S26" s="2877" t="str">
        <f>IF(TEMPLATE_GROUP="P",PT_P_FORM_HEAT_4_NAME_FORM,PT_R_FORM_HEAT_21_NAME_FORM)</f>
        <v>Форма 19. Информация о предложении регулируемой организации о расчетной величине тарифов в сфере теплоснабжения на очередной расчетный период регулирования</v>
      </c>
      <c r="T26" s="2877"/>
      <c r="U26" s="2877"/>
      <c r="V26" s="2877"/>
      <c r="W26" s="2877"/>
      <c r="X26" s="2877"/>
      <c r="Y26" s="2877"/>
      <c r="Z26" s="2877"/>
      <c r="AA26" s="2877"/>
      <c r="AB26" s="2877"/>
      <c r="AC26" s="2877"/>
      <c r="AD26" s="2877"/>
      <c r="AE26" s="2877"/>
      <c r="AF26" s="2877"/>
      <c r="AG26" s="2877"/>
      <c r="AH26" s="2877"/>
      <c r="AI26" s="2877"/>
      <c r="AJ26" s="2877"/>
      <c r="AK26" s="1170"/>
      <c r="AS26" s="1082">
        <v>28</v>
      </c>
    </row>
    <row r="27" spans="1:45" ht="15" customHeight="1">
      <c r="Q27" s="313"/>
      <c r="R27" s="313"/>
      <c r="S27" s="2849" t="str">
        <f>IF(org=0,"Не определено",org)</f>
        <v>ТМУП "ТТС"</v>
      </c>
      <c r="T27" s="2849"/>
      <c r="U27" s="2849"/>
      <c r="V27" s="2849"/>
      <c r="W27" s="2849"/>
      <c r="X27" s="2849"/>
      <c r="Y27" s="2849"/>
      <c r="Z27" s="2849"/>
      <c r="AA27" s="2849"/>
      <c r="AB27" s="2849"/>
      <c r="AC27" s="2849"/>
      <c r="AD27" s="2849"/>
      <c r="AE27" s="2849"/>
      <c r="AF27" s="2849"/>
      <c r="AG27" s="2849"/>
      <c r="AH27" s="2849"/>
      <c r="AI27" s="2849"/>
      <c r="AJ27" s="284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887" t="s">
        <v>46</v>
      </c>
      <c r="T29" s="2887"/>
      <c r="U29" s="1299"/>
      <c r="V29" s="2889" t="str">
        <f>IF(TITLE_NAME_OR_PR_CHANGE="",IF(TITLE_NAME_OR_PR="","",TITLE_NAME_OR_PR),TITLE_NAME_OR_PR_CHANGE)</f>
        <v/>
      </c>
      <c r="W29" s="2889"/>
      <c r="X29" s="2889"/>
      <c r="Y29" s="2889"/>
      <c r="Z29" s="2889"/>
      <c r="AA29" s="2889"/>
      <c r="AB29" s="2889"/>
      <c r="AC29" s="264"/>
      <c r="AD29" s="2889" t="str">
        <f>IF(TITLE_NAME_OR_PR_CHANGE="",IF(TITLE_NAME_OR_PR="","",TITLE_NAME_OR_PR),TITLE_NAME_OR_PR_CHANGE)</f>
        <v/>
      </c>
      <c r="AE29" s="2889"/>
      <c r="AF29" s="2889"/>
      <c r="AG29" s="2889"/>
      <c r="AH29" s="2889"/>
      <c r="AI29" s="2889"/>
      <c r="AJ29" s="288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887" t="s">
        <v>465</v>
      </c>
      <c r="T30" s="2887"/>
      <c r="U30" s="1299"/>
      <c r="V30" s="2888" t="str">
        <f>IF(TITLE_DATE_PR_CHANGE="",IF(TITLE_DATE_PR="","",TITLE_DATE_PR),TITLE_DATE_PR_CHANGE)</f>
        <v>14.11.2024</v>
      </c>
      <c r="W30" s="2888"/>
      <c r="X30" s="2888"/>
      <c r="Y30" s="2888"/>
      <c r="Z30" s="2888"/>
      <c r="AA30" s="2888"/>
      <c r="AB30" s="2888"/>
      <c r="AC30" s="264"/>
      <c r="AD30" s="2888" t="str">
        <f>IF(TITLE_DATE_PR_CHANGE="",IF(TITLE_DATE_PR="","",TITLE_DATE_PR),TITLE_DATE_PR_CHANGE)</f>
        <v>14.11.2024</v>
      </c>
      <c r="AE30" s="2888"/>
      <c r="AF30" s="2888"/>
      <c r="AG30" s="2888"/>
      <c r="AH30" s="2888"/>
      <c r="AI30" s="2888"/>
      <c r="AJ30" s="288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887" t="s">
        <v>466</v>
      </c>
      <c r="T31" s="2887"/>
      <c r="U31" s="1299"/>
      <c r="V31" s="2889" t="str">
        <f>IF(TITLE_NUMBER_PR_CHANGE="",IF(TITLE_NUMBER_PR="","",TITLE_NUMBER_PR),TITLE_NUMBER_PR_CHANGE)</f>
        <v>947 от 12.11.2024</v>
      </c>
      <c r="W31" s="2889"/>
      <c r="X31" s="2889"/>
      <c r="Y31" s="2889"/>
      <c r="Z31" s="2889"/>
      <c r="AA31" s="2889"/>
      <c r="AB31" s="2889"/>
      <c r="AC31" s="264"/>
      <c r="AD31" s="2889" t="str">
        <f>IF(TITLE_NUMBER_PR_CHANGE="",IF(TITLE_NUMBER_PR="","",TITLE_NUMBER_PR),TITLE_NUMBER_PR_CHANGE)</f>
        <v>947 от 12.11.2024</v>
      </c>
      <c r="AE31" s="2889"/>
      <c r="AF31" s="2889"/>
      <c r="AG31" s="2889"/>
      <c r="AH31" s="2889"/>
      <c r="AI31" s="2889"/>
      <c r="AJ31" s="288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887" t="s">
        <v>47</v>
      </c>
      <c r="T32" s="2887"/>
      <c r="U32" s="1299"/>
      <c r="V32" s="2889" t="str">
        <f>IF(TITLE_IST_PUB_CHANGE="",IF(TITLE_IST_PUB="","",TITLE_IST_PUB),TITLE_IST_PUB_CHANGE)</f>
        <v/>
      </c>
      <c r="W32" s="2889"/>
      <c r="X32" s="2889"/>
      <c r="Y32" s="2889"/>
      <c r="Z32" s="2889"/>
      <c r="AA32" s="2889"/>
      <c r="AB32" s="2889"/>
      <c r="AC32" s="264"/>
      <c r="AD32" s="2889" t="str">
        <f>IF(TITLE_IST_PUB_CHANGE="",IF(TITLE_IST_PUB="","",TITLE_IST_PUB),TITLE_IST_PUB_CHANGE)</f>
        <v/>
      </c>
      <c r="AE32" s="2889"/>
      <c r="AF32" s="2889"/>
      <c r="AG32" s="2889"/>
      <c r="AH32" s="2889"/>
      <c r="AI32" s="2889"/>
      <c r="AJ32" s="2889"/>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887" t="s">
        <v>467</v>
      </c>
      <c r="T34" s="2887"/>
      <c r="U34" s="1299"/>
      <c r="V34" s="2888" t="str">
        <f>IF(TITLE_DATE_PR_CHANGE="",IF(TITLE_DATE_PR="","",TITLE_DATE_PR),TITLE_DATE_PR_CHANGE)</f>
        <v>14.11.2024</v>
      </c>
      <c r="W34" s="2888"/>
      <c r="X34" s="2888"/>
      <c r="Y34" s="2888"/>
      <c r="Z34" s="2888"/>
      <c r="AA34" s="2888"/>
      <c r="AB34" s="2888"/>
      <c r="AC34" s="264"/>
      <c r="AD34" s="2888" t="str">
        <f>IF(TITLE_DATE_PR_CHANGE="",IF(TITLE_DATE_PR="","",TITLE_DATE_PR),TITLE_DATE_PR_CHANGE)</f>
        <v>14.11.2024</v>
      </c>
      <c r="AE34" s="2888"/>
      <c r="AF34" s="2888"/>
      <c r="AG34" s="2888"/>
      <c r="AH34" s="2888"/>
      <c r="AI34" s="2888"/>
      <c r="AJ34" s="2888"/>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887" t="s">
        <v>468</v>
      </c>
      <c r="T35" s="2887"/>
      <c r="U35" s="1299"/>
      <c r="V35" s="2889" t="str">
        <f>IF(TITLE_NUMBER_PR_CHANGE="",IF(TITLE_NUMBER_PR="","",TITLE_NUMBER_PR),TITLE_NUMBER_PR_CHANGE)</f>
        <v>947 от 12.11.2024</v>
      </c>
      <c r="W35" s="2889"/>
      <c r="X35" s="2889"/>
      <c r="Y35" s="2889"/>
      <c r="Z35" s="2889"/>
      <c r="AA35" s="2889"/>
      <c r="AB35" s="2889"/>
      <c r="AC35" s="264"/>
      <c r="AD35" s="2889" t="str">
        <f>IF(TITLE_NUMBER_PR_CHANGE="",IF(TITLE_NUMBER_PR="","",TITLE_NUMBER_PR),TITLE_NUMBER_PR_CHANGE)</f>
        <v>947 от 12.11.2024</v>
      </c>
      <c r="AE35" s="2889"/>
      <c r="AF35" s="2889"/>
      <c r="AG35" s="2889"/>
      <c r="AH35" s="2889"/>
      <c r="AI35" s="2889"/>
      <c r="AJ35" s="288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469</v>
      </c>
      <c r="AD36" s="264"/>
      <c r="AE36" s="264"/>
      <c r="AF36" s="264"/>
      <c r="AG36" s="264"/>
      <c r="AH36" s="264"/>
      <c r="AI36" s="264"/>
      <c r="AJ36" s="264"/>
      <c r="AK36" s="216" t="s">
        <v>469</v>
      </c>
      <c r="AN36" s="305"/>
      <c r="AO36" s="305"/>
      <c r="AP36" s="305"/>
      <c r="AQ36" s="305"/>
      <c r="AR36" s="305"/>
      <c r="AS36" s="355">
        <v>0</v>
      </c>
    </row>
    <row r="37" spans="1:45" ht="15" customHeight="1">
      <c r="Q37" s="313"/>
      <c r="R37" s="313"/>
      <c r="S37" s="1202"/>
      <c r="T37" s="300"/>
      <c r="U37" s="1171"/>
      <c r="V37" s="2908"/>
      <c r="W37" s="2908"/>
      <c r="X37" s="2908"/>
      <c r="Y37" s="2908"/>
      <c r="Z37" s="2908"/>
      <c r="AA37" s="2908"/>
      <c r="AB37" s="2908"/>
      <c r="AC37" s="2908"/>
      <c r="AD37" s="2908"/>
      <c r="AE37" s="2908"/>
      <c r="AF37" s="2908"/>
      <c r="AG37" s="2908"/>
      <c r="AH37" s="2908"/>
      <c r="AI37" s="2908"/>
      <c r="AJ37" s="2908"/>
      <c r="AK37" s="2908"/>
      <c r="AS37" s="1082">
        <v>14</v>
      </c>
    </row>
    <row r="38" spans="1:45" ht="15" customHeight="1">
      <c r="Q38" s="313"/>
      <c r="R38" s="313"/>
      <c r="S38" s="2758" t="s">
        <v>345</v>
      </c>
      <c r="T38" s="2758"/>
      <c r="U38" s="2758"/>
      <c r="V38" s="2758"/>
      <c r="W38" s="2758"/>
      <c r="X38" s="2758"/>
      <c r="Y38" s="2758"/>
      <c r="Z38" s="2758"/>
      <c r="AA38" s="2758"/>
      <c r="AB38" s="2758"/>
      <c r="AC38" s="2758"/>
      <c r="AD38" s="2758"/>
      <c r="AE38" s="2758"/>
      <c r="AF38" s="2758"/>
      <c r="AG38" s="2758"/>
      <c r="AH38" s="2758"/>
      <c r="AI38" s="2758"/>
      <c r="AJ38" s="2758"/>
      <c r="AK38" s="2758"/>
      <c r="AL38" s="2758"/>
      <c r="AM38" s="2758" t="s">
        <v>346</v>
      </c>
      <c r="AS38" s="1082">
        <v>14</v>
      </c>
    </row>
    <row r="39" spans="1:45" ht="15" customHeight="1">
      <c r="Q39" s="313"/>
      <c r="R39" s="313"/>
      <c r="S39" s="2909" t="s">
        <v>93</v>
      </c>
      <c r="T39" s="2857" t="s">
        <v>470</v>
      </c>
      <c r="U39" s="239"/>
      <c r="V39" s="2910" t="s">
        <v>471</v>
      </c>
      <c r="W39" s="2911"/>
      <c r="X39" s="2927"/>
      <c r="Y39" s="2927"/>
      <c r="Z39" s="2911"/>
      <c r="AA39" s="2911"/>
      <c r="AB39" s="2912"/>
      <c r="AC39" s="2913" t="s">
        <v>472</v>
      </c>
      <c r="AD39" s="2910" t="s">
        <v>471</v>
      </c>
      <c r="AE39" s="2911"/>
      <c r="AF39" s="2927"/>
      <c r="AG39" s="2927"/>
      <c r="AH39" s="2911"/>
      <c r="AI39" s="2911"/>
      <c r="AJ39" s="2912"/>
      <c r="AK39" s="2913" t="s">
        <v>473</v>
      </c>
      <c r="AL39" s="2916" t="s">
        <v>474</v>
      </c>
      <c r="AM39" s="2758"/>
      <c r="AS39" s="1082">
        <v>14</v>
      </c>
    </row>
    <row r="40" spans="1:45" ht="24" customHeight="1">
      <c r="Q40" s="313"/>
      <c r="R40" s="313"/>
      <c r="S40" s="2909"/>
      <c r="T40" s="2857"/>
      <c r="U40" s="961"/>
      <c r="V40" s="2925" t="s">
        <v>475</v>
      </c>
      <c r="W40" s="2830" t="s">
        <v>476</v>
      </c>
      <c r="X40" s="1303" t="s">
        <v>477</v>
      </c>
      <c r="Y40" s="1303"/>
      <c r="Z40" s="2745" t="s">
        <v>478</v>
      </c>
      <c r="AA40" s="2745"/>
      <c r="AB40" s="2739"/>
      <c r="AC40" s="2914"/>
      <c r="AD40" s="2925" t="s">
        <v>475</v>
      </c>
      <c r="AE40" s="2830" t="s">
        <v>476</v>
      </c>
      <c r="AF40" s="1303" t="s">
        <v>477</v>
      </c>
      <c r="AG40" s="1303"/>
      <c r="AH40" s="2745" t="s">
        <v>478</v>
      </c>
      <c r="AI40" s="2745"/>
      <c r="AJ40" s="2739"/>
      <c r="AK40" s="2914"/>
      <c r="AL40" s="2917"/>
      <c r="AM40" s="2758"/>
      <c r="AS40" s="1082">
        <v>23</v>
      </c>
    </row>
    <row r="41" spans="1:45" s="1193" customFormat="1" ht="24" customHeight="1">
      <c r="A41" s="1297"/>
      <c r="B41" s="1297" t="s">
        <v>140</v>
      </c>
      <c r="C41" s="1297" t="s">
        <v>141</v>
      </c>
      <c r="D41" s="1297" t="s">
        <v>142</v>
      </c>
      <c r="E41" s="1291" t="s">
        <v>479</v>
      </c>
      <c r="F41" s="1291" t="s">
        <v>480</v>
      </c>
      <c r="G41" s="1291" t="s">
        <v>481</v>
      </c>
      <c r="H41" s="1291" t="s">
        <v>482</v>
      </c>
      <c r="I41" s="1291" t="s">
        <v>483</v>
      </c>
      <c r="J41" s="1291" t="s">
        <v>484</v>
      </c>
      <c r="K41" s="1291" t="s">
        <v>485</v>
      </c>
      <c r="L41" s="1291" t="s">
        <v>460</v>
      </c>
      <c r="M41" s="1289"/>
      <c r="N41" s="1289"/>
      <c r="O41" s="1289"/>
      <c r="P41" s="1255"/>
      <c r="Q41" s="313"/>
      <c r="R41" s="313"/>
      <c r="S41" s="2909"/>
      <c r="T41" s="2857"/>
      <c r="U41" s="240"/>
      <c r="V41" s="2926"/>
      <c r="W41" s="2835"/>
      <c r="X41" s="1300" t="s">
        <v>486</v>
      </c>
      <c r="Y41" s="1300" t="s">
        <v>487</v>
      </c>
      <c r="Z41" s="1261" t="s">
        <v>488</v>
      </c>
      <c r="AA41" s="2862" t="s">
        <v>489</v>
      </c>
      <c r="AB41" s="2876"/>
      <c r="AC41" s="2915"/>
      <c r="AD41" s="2926"/>
      <c r="AE41" s="2835"/>
      <c r="AF41" s="1300" t="s">
        <v>486</v>
      </c>
      <c r="AG41" s="1300" t="s">
        <v>487</v>
      </c>
      <c r="AH41" s="1261" t="s">
        <v>488</v>
      </c>
      <c r="AI41" s="2862" t="s">
        <v>489</v>
      </c>
      <c r="AJ41" s="2876"/>
      <c r="AK41" s="2915"/>
      <c r="AL41" s="2918"/>
      <c r="AM41" s="2758"/>
      <c r="AN41" s="448"/>
      <c r="AO41" s="437"/>
      <c r="AP41" s="437"/>
      <c r="AQ41" s="437"/>
      <c r="AR41" s="437"/>
      <c r="AS41" s="519">
        <v>23</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114</v>
      </c>
      <c r="T42" s="1182" t="s">
        <v>115</v>
      </c>
      <c r="U42" s="1172" t="str">
        <f ca="1">OFFSET(U42,0,-1)</f>
        <v>2</v>
      </c>
      <c r="V42" s="1262">
        <f ca="1">OFFSET(V42,0,-1)+1</f>
        <v>3</v>
      </c>
      <c r="W42" s="1262"/>
      <c r="X42" s="1268">
        <f ca="1">OFFSET(X42,0,-1)+1</f>
        <v>1</v>
      </c>
      <c r="Y42" s="1268">
        <f ca="1">OFFSET(Y42,0,-1)+1</f>
        <v>2</v>
      </c>
      <c r="Z42" s="1262">
        <f ca="1">OFFSET(Z42,0,-1)+1</f>
        <v>3</v>
      </c>
      <c r="AA42" s="2907">
        <f ca="1">OFFSET(AA42,0,-1)+1</f>
        <v>4</v>
      </c>
      <c r="AB42" s="2907"/>
      <c r="AC42" s="1262">
        <f ca="1">OFFSET(AC42,0,-2)+1</f>
        <v>5</v>
      </c>
      <c r="AD42" s="1262">
        <f ca="1">OFFSET(AD42,0,-1)+1</f>
        <v>6</v>
      </c>
      <c r="AE42" s="1262"/>
      <c r="AF42" s="1268">
        <f ca="1">OFFSET(AF42,0,-1)+1</f>
        <v>1</v>
      </c>
      <c r="AG42" s="1268">
        <f ca="1">OFFSET(AG42,0,-1)+1</f>
        <v>2</v>
      </c>
      <c r="AH42" s="1262">
        <f ca="1">OFFSET(AH42,0,-1)+1</f>
        <v>3</v>
      </c>
      <c r="AI42" s="2907">
        <f ca="1">OFFSET(AI42,0,-1)+1</f>
        <v>4</v>
      </c>
      <c r="AJ42" s="2907"/>
      <c r="AK42" s="1262">
        <f ca="1">OFFSET(AK42,0,-2)+1</f>
        <v>5</v>
      </c>
      <c r="AL42" s="1172">
        <f ca="1">OFFSET(AL42,0,-1)</f>
        <v>5</v>
      </c>
      <c r="AM42" s="1262">
        <f ca="1">OFFSET(AM42,0,-1)+1</f>
        <v>6</v>
      </c>
      <c r="AN42" s="448"/>
      <c r="AO42" s="448"/>
      <c r="AP42" s="448"/>
      <c r="AQ42" s="448"/>
      <c r="AR42" s="448"/>
      <c r="AS42" s="433">
        <v>0</v>
      </c>
    </row>
    <row r="43" spans="1:45" ht="21.75" customHeight="1">
      <c r="A43" s="1290" t="s">
        <v>239</v>
      </c>
      <c r="B43" s="1290"/>
      <c r="C43" s="1290"/>
      <c r="D43" s="1290"/>
      <c r="E43" s="289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128</v>
      </c>
      <c r="U43" s="238"/>
      <c r="V43" s="2890"/>
      <c r="W43" s="2891"/>
      <c r="X43" s="2891"/>
      <c r="Y43" s="2891"/>
      <c r="Z43" s="2891"/>
      <c r="AA43" s="2891"/>
      <c r="AB43" s="2891"/>
      <c r="AC43" s="2892"/>
      <c r="AD43" s="2890" t="str">
        <f>INDEX(PT_DIFFERENTIATION_NTAR,MATCH(A43,PT_DIFFERENTIATION_NTAR_ID,0))</f>
        <v/>
      </c>
      <c r="AE43" s="2891"/>
      <c r="AF43" s="2891"/>
      <c r="AG43" s="2891"/>
      <c r="AH43" s="2891"/>
      <c r="AI43" s="2891"/>
      <c r="AJ43" s="2891"/>
      <c r="AK43" s="2891"/>
      <c r="AL43" s="2892"/>
      <c r="AM43" s="1185" t="str">
        <f>IF(TEMPLATE_GROUP="P","По данной форме раскрывается в том числе информация об индикативном предельном уровне цены на тепловую энергию (мощность), который определен в соответствии с Правилами определения в ценовых зонах теплоснабжения предельного уровня "&amp;"цены на тепловую энергию (мощность), включая правила индексации предельного уровня цены на тепловую энергию (мощность), "&amp;"утвержденными постановлением Правительства Российской Федерации от 15 декабря 2017 г. N 1562 (далее - Правила), о графике поэтапного равномерного доведения предельного уровня цены на тепловую энергию (мощность) до уровня, "&amp;"определяемого в соответствии с указанными "&amp;"Правилами, а также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Для каждого вида тарифа в сфере теплоснабжения форма заполняется отдельно."&amp;"
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"&amp;"об установлении цены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"&amp;"Указывается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информация о расчетной величине тарифов в сфере теплоснабжения на товары (услуги) в случаях, указанных в частях 12 1 - 12 4 статьи 10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75" customHeight="1">
      <c r="A44" s="1290" t="s">
        <v>239</v>
      </c>
      <c r="B44" s="1290" t="s">
        <v>240</v>
      </c>
      <c r="C44" s="1290"/>
      <c r="D44" s="1290"/>
      <c r="E44" s="2897"/>
      <c r="F44" s="2896">
        <v>1</v>
      </c>
      <c r="G44" s="1290"/>
      <c r="H44" s="1290"/>
      <c r="I44" s="1290"/>
      <c r="J44" s="1290"/>
      <c r="K44" s="1290"/>
      <c r="L44" s="1291"/>
      <c r="M44" s="1292"/>
      <c r="N44" s="1292"/>
      <c r="O44" s="1292"/>
      <c r="P44" s="1259"/>
      <c r="Q44" s="289"/>
      <c r="R44" s="290"/>
      <c r="S44" s="1263" t="str">
        <f>INDEX(PT_DIFFERENTIATION_NUM_TER,MATCH(B44,PT_DIFFERENTIATION_TER_ID,0))</f>
        <v>.</v>
      </c>
      <c r="T44" s="246" t="s">
        <v>442</v>
      </c>
      <c r="U44" s="238"/>
      <c r="V44" s="2890"/>
      <c r="W44" s="2891"/>
      <c r="X44" s="2891"/>
      <c r="Y44" s="2891"/>
      <c r="Z44" s="2891"/>
      <c r="AA44" s="2891"/>
      <c r="AB44" s="2891"/>
      <c r="AC44" s="2892"/>
      <c r="AD44" s="2890" t="str">
        <f>INDEX(PT_DIFFERENTIATION_TER,MATCH(B44,PT_DIFFERENTIATION_TER_ID,0))</f>
        <v/>
      </c>
      <c r="AE44" s="2891"/>
      <c r="AF44" s="2891"/>
      <c r="AG44" s="2891"/>
      <c r="AH44" s="2891"/>
      <c r="AI44" s="2891"/>
      <c r="AJ44" s="2891"/>
      <c r="AK44" s="2891"/>
      <c r="AL44" s="2892"/>
      <c r="AM44" s="1185" t="s">
        <v>443</v>
      </c>
      <c r="AO44" s="437"/>
      <c r="AP44" s="437" t="str">
        <f t="shared" si="1"/>
        <v>Территория действия тарифа</v>
      </c>
      <c r="AQ44" s="437"/>
      <c r="AR44" s="437"/>
      <c r="AS44" s="1082">
        <v>21</v>
      </c>
    </row>
    <row r="45" spans="1:45" ht="24" customHeight="1">
      <c r="A45" s="1290" t="s">
        <v>239</v>
      </c>
      <c r="B45" s="1290" t="s">
        <v>240</v>
      </c>
      <c r="C45" s="1290" t="s">
        <v>241</v>
      </c>
      <c r="D45" s="1290"/>
      <c r="E45" s="2897"/>
      <c r="F45" s="2897"/>
      <c r="G45" s="2896">
        <v>1</v>
      </c>
      <c r="H45" s="1290"/>
      <c r="I45" s="1290"/>
      <c r="J45" s="1290"/>
      <c r="K45" s="1290"/>
      <c r="L45" s="1291"/>
      <c r="M45" s="1292"/>
      <c r="N45" s="1292"/>
      <c r="O45" s="1292"/>
      <c r="P45" s="291"/>
      <c r="Q45" s="289"/>
      <c r="R45" s="290"/>
      <c r="S45" s="1263" t="str">
        <f>INDEX(PT_DIFFERENTIATION_NUM_CS,MATCH(C45,PT_DIFFERENTIATION_CS_ID,0))</f>
        <v>..</v>
      </c>
      <c r="T45" s="247" t="s">
        <v>444</v>
      </c>
      <c r="U45" s="238"/>
      <c r="V45" s="2890"/>
      <c r="W45" s="2891"/>
      <c r="X45" s="2891"/>
      <c r="Y45" s="2891"/>
      <c r="Z45" s="2891"/>
      <c r="AA45" s="2891"/>
      <c r="AB45" s="2891"/>
      <c r="AC45" s="2892"/>
      <c r="AD45" s="2890" t="str">
        <f>INDEX(PT_DIFFERENTIATION_CS,MATCH(C45,PT_DIFFERENTIATION_CS_ID,0))</f>
        <v/>
      </c>
      <c r="AE45" s="2891"/>
      <c r="AF45" s="2891"/>
      <c r="AG45" s="2891"/>
      <c r="AH45" s="2891"/>
      <c r="AI45" s="2891"/>
      <c r="AJ45" s="2891"/>
      <c r="AK45" s="2891"/>
      <c r="AL45" s="2892"/>
      <c r="AM45" s="1185" t="s">
        <v>445</v>
      </c>
      <c r="AO45" s="437"/>
      <c r="AP45" s="437" t="str">
        <f t="shared" si="1"/>
        <v xml:space="preserve">Наименование системы теплоснабжения </v>
      </c>
      <c r="AQ45" s="437"/>
      <c r="AR45" s="437"/>
      <c r="AS45" s="1082">
        <v>23</v>
      </c>
    </row>
    <row r="46" spans="1:45" ht="21.75" customHeight="1">
      <c r="A46" s="1290" t="s">
        <v>239</v>
      </c>
      <c r="B46" s="1290" t="s">
        <v>240</v>
      </c>
      <c r="C46" s="1290" t="s">
        <v>241</v>
      </c>
      <c r="D46" s="1290" t="s">
        <v>242</v>
      </c>
      <c r="E46" s="2897"/>
      <c r="F46" s="2897"/>
      <c r="G46" s="2897"/>
      <c r="H46" s="2896">
        <v>1</v>
      </c>
      <c r="I46" s="1290"/>
      <c r="J46" s="1290"/>
      <c r="K46" s="1290"/>
      <c r="L46" s="1291"/>
      <c r="M46" s="1292"/>
      <c r="N46" s="1292"/>
      <c r="O46" s="1292"/>
      <c r="P46" s="291"/>
      <c r="Q46" s="289"/>
      <c r="R46" s="290"/>
      <c r="S46" s="1263" t="str">
        <f>INDEX(PT_DIFFERENTIATION_NUM_IST_TE,MATCH(D46,PT_DIFFERENTIATION_IST_TE_ID,0))</f>
        <v>...</v>
      </c>
      <c r="T46" s="248" t="s">
        <v>446</v>
      </c>
      <c r="U46" s="238"/>
      <c r="V46" s="2890"/>
      <c r="W46" s="2891"/>
      <c r="X46" s="2891"/>
      <c r="Y46" s="2891"/>
      <c r="Z46" s="2891"/>
      <c r="AA46" s="2891"/>
      <c r="AB46" s="2891"/>
      <c r="AC46" s="2892"/>
      <c r="AD46" s="2890" t="str">
        <f>INDEX(PT_DIFFERENTIATION_IST_TE,MATCH(D46,PT_DIFFERENTIATION_IST_TE_ID,0))</f>
        <v/>
      </c>
      <c r="AE46" s="2891"/>
      <c r="AF46" s="2891"/>
      <c r="AG46" s="2891"/>
      <c r="AH46" s="2891"/>
      <c r="AI46" s="2891"/>
      <c r="AJ46" s="2891"/>
      <c r="AK46" s="2891"/>
      <c r="AL46" s="2892"/>
      <c r="AM46" s="1185" t="s">
        <v>447</v>
      </c>
      <c r="AO46" s="437"/>
      <c r="AP46" s="437" t="str">
        <f t="shared" si="1"/>
        <v xml:space="preserve">Источник тепловой энергии  </v>
      </c>
      <c r="AQ46" s="437"/>
      <c r="AR46" s="437"/>
      <c r="AS46" s="1082">
        <v>21</v>
      </c>
    </row>
    <row r="47" spans="1:45" ht="49.5" customHeight="1">
      <c r="A47" s="1290" t="s">
        <v>239</v>
      </c>
      <c r="B47" s="1290" t="s">
        <v>240</v>
      </c>
      <c r="C47" s="1290" t="s">
        <v>241</v>
      </c>
      <c r="D47" s="1290" t="s">
        <v>242</v>
      </c>
      <c r="E47" s="2897"/>
      <c r="F47" s="2897"/>
      <c r="G47" s="2897"/>
      <c r="H47" s="2897"/>
      <c r="I47" s="2898" t="str">
        <f>S46&amp;".1"</f>
        <v>....1</v>
      </c>
      <c r="J47" s="1290"/>
      <c r="K47" s="1290"/>
      <c r="L47" s="1291" t="s">
        <v>448</v>
      </c>
      <c r="P47" s="2900">
        <v>1</v>
      </c>
      <c r="Q47" s="1258"/>
      <c r="R47" s="293"/>
      <c r="S47" s="1263" t="str">
        <f>$I47</f>
        <v>....1</v>
      </c>
      <c r="T47" s="223" t="s">
        <v>449</v>
      </c>
      <c r="U47" s="238"/>
      <c r="V47" s="2884"/>
      <c r="W47" s="2885"/>
      <c r="X47" s="2885"/>
      <c r="Y47" s="2885"/>
      <c r="Z47" s="2885"/>
      <c r="AA47" s="2885"/>
      <c r="AB47" s="2885"/>
      <c r="AC47" s="2886"/>
      <c r="AD47" s="2884"/>
      <c r="AE47" s="2885"/>
      <c r="AF47" s="2885"/>
      <c r="AG47" s="2885"/>
      <c r="AH47" s="2885"/>
      <c r="AI47" s="2885"/>
      <c r="AJ47" s="2885"/>
      <c r="AK47" s="2885"/>
      <c r="AL47" s="2886"/>
      <c r="AM47" s="1185" t="s">
        <v>450</v>
      </c>
      <c r="AO47" s="437"/>
      <c r="AP47" s="437" t="str">
        <f t="shared" si="1"/>
        <v>Схема подключения теплопотребляющей установки к коллектору источника тепловой энергии</v>
      </c>
      <c r="AQ47" s="437"/>
      <c r="AR47" s="437"/>
      <c r="AS47" s="1082">
        <v>47</v>
      </c>
    </row>
    <row r="48" spans="1:45" ht="21.75" customHeight="1">
      <c r="A48" s="1290" t="s">
        <v>239</v>
      </c>
      <c r="B48" s="1290" t="s">
        <v>240</v>
      </c>
      <c r="C48" s="1290" t="s">
        <v>241</v>
      </c>
      <c r="D48" s="1290" t="s">
        <v>242</v>
      </c>
      <c r="E48" s="2897"/>
      <c r="F48" s="2897"/>
      <c r="G48" s="2897"/>
      <c r="H48" s="2897"/>
      <c r="I48" s="2899"/>
      <c r="J48" s="2898" t="str">
        <f>I47&amp;".1"</f>
        <v>....1.1</v>
      </c>
      <c r="K48" s="1290"/>
      <c r="L48" s="1291" t="s">
        <v>451</v>
      </c>
      <c r="P48" s="2900"/>
      <c r="Q48" s="2900">
        <v>1</v>
      </c>
      <c r="R48" s="294"/>
      <c r="S48" s="1263" t="str">
        <f>$J48</f>
        <v>....1.1</v>
      </c>
      <c r="T48" s="224" t="s">
        <v>452</v>
      </c>
      <c r="U48" s="238"/>
      <c r="V48" s="2884"/>
      <c r="W48" s="2885"/>
      <c r="X48" s="2885"/>
      <c r="Y48" s="2885"/>
      <c r="Z48" s="2885"/>
      <c r="AA48" s="2885"/>
      <c r="AB48" s="2885"/>
      <c r="AC48" s="2886"/>
      <c r="AD48" s="2884"/>
      <c r="AE48" s="2885"/>
      <c r="AF48" s="2885"/>
      <c r="AG48" s="2885"/>
      <c r="AH48" s="2885"/>
      <c r="AI48" s="2885"/>
      <c r="AJ48" s="2885"/>
      <c r="AK48" s="2885"/>
      <c r="AL48" s="2886"/>
      <c r="AM48" s="1185" t="s">
        <v>453</v>
      </c>
      <c r="AO48" s="437"/>
      <c r="AP48" s="437" t="str">
        <f t="shared" si="1"/>
        <v>Группа потребителей</v>
      </c>
      <c r="AQ48" s="437"/>
      <c r="AR48" s="437"/>
      <c r="AS48" s="1082">
        <v>21</v>
      </c>
    </row>
    <row r="49" spans="1:45" ht="21.75" customHeight="1">
      <c r="A49" s="1290" t="s">
        <v>239</v>
      </c>
      <c r="B49" s="1290" t="s">
        <v>240</v>
      </c>
      <c r="C49" s="1290" t="s">
        <v>241</v>
      </c>
      <c r="D49" s="1290" t="s">
        <v>242</v>
      </c>
      <c r="E49" s="2897"/>
      <c r="F49" s="2897"/>
      <c r="G49" s="2897"/>
      <c r="H49" s="2897"/>
      <c r="I49" s="2899"/>
      <c r="J49" s="2899"/>
      <c r="K49" s="2898" t="str">
        <f>J48&amp;".1"</f>
        <v>....1.1.1</v>
      </c>
      <c r="L49" s="1291" t="s">
        <v>454</v>
      </c>
      <c r="P49" s="2900"/>
      <c r="Q49" s="2900"/>
      <c r="R49" s="294">
        <v>1</v>
      </c>
      <c r="S49" s="1263" t="str">
        <f>$K49</f>
        <v>....1.1.1</v>
      </c>
      <c r="T49" s="1274"/>
      <c r="U49" s="238"/>
      <c r="V49" s="263"/>
      <c r="W49" s="688"/>
      <c r="X49" s="263"/>
      <c r="Y49" s="321"/>
      <c r="Z49" s="2901"/>
      <c r="AA49" s="2768" t="s">
        <v>71</v>
      </c>
      <c r="AB49" s="2901"/>
      <c r="AC49" s="2768" t="s">
        <v>71</v>
      </c>
      <c r="AD49" s="263"/>
      <c r="AE49" s="688"/>
      <c r="AF49" s="263"/>
      <c r="AG49" s="321"/>
      <c r="AH49" s="2901"/>
      <c r="AI49" s="2768" t="s">
        <v>71</v>
      </c>
      <c r="AJ49" s="2903"/>
      <c r="AK49" s="2768" t="s">
        <v>71</v>
      </c>
      <c r="AL49" s="1275"/>
      <c r="AM49" s="2919" t="s">
        <v>455</v>
      </c>
      <c r="AN49" s="448" t="e">
        <f ca="1">STRCHECKDATE(V50:AL50)</f>
        <v>#NAME?</v>
      </c>
      <c r="AO49" s="437"/>
      <c r="AP49" s="437" t="str">
        <f t="shared" si="1"/>
        <v/>
      </c>
      <c r="AQ49" s="437"/>
      <c r="AR49" s="437"/>
      <c r="AS49" s="1082">
        <v>21</v>
      </c>
    </row>
    <row r="50" spans="1:45" ht="0.75" customHeight="1">
      <c r="A50" s="1290" t="s">
        <v>239</v>
      </c>
      <c r="B50" s="1290" t="s">
        <v>240</v>
      </c>
      <c r="C50" s="1290" t="s">
        <v>241</v>
      </c>
      <c r="D50" s="1290" t="s">
        <v>242</v>
      </c>
      <c r="E50" s="2897"/>
      <c r="F50" s="2897"/>
      <c r="G50" s="2897"/>
      <c r="H50" s="2897"/>
      <c r="I50" s="2899"/>
      <c r="J50" s="2899"/>
      <c r="K50" s="2898"/>
      <c r="L50" s="1291"/>
      <c r="P50" s="2900"/>
      <c r="Q50" s="2900"/>
      <c r="R50" s="294"/>
      <c r="S50" s="1269"/>
      <c r="T50" s="238"/>
      <c r="U50" s="238"/>
      <c r="V50" s="263"/>
      <c r="W50" s="263"/>
      <c r="X50" s="263"/>
      <c r="Y50" s="266" t="str">
        <f>Z49&amp;"-"&amp;AB49</f>
        <v>-</v>
      </c>
      <c r="Z50" s="2902"/>
      <c r="AA50" s="2768"/>
      <c r="AB50" s="2902"/>
      <c r="AC50" s="2768"/>
      <c r="AD50" s="263"/>
      <c r="AE50" s="263"/>
      <c r="AF50" s="263"/>
      <c r="AG50" s="266" t="str">
        <f>AH49&amp;"-"&amp;AJ49</f>
        <v>-</v>
      </c>
      <c r="AH50" s="2902"/>
      <c r="AI50" s="2768"/>
      <c r="AJ50" s="2904"/>
      <c r="AK50" s="2768"/>
      <c r="AL50" s="1276"/>
      <c r="AM50" s="2920"/>
      <c r="AO50" s="437"/>
      <c r="AP50" s="437" t="str">
        <f t="shared" si="1"/>
        <v/>
      </c>
      <c r="AQ50" s="437"/>
      <c r="AR50" s="437"/>
      <c r="AS50" s="1082">
        <v>1</v>
      </c>
    </row>
    <row r="51" spans="1:45" ht="11.25" customHeight="1">
      <c r="A51" s="1290" t="s">
        <v>239</v>
      </c>
      <c r="B51" s="1290" t="s">
        <v>240</v>
      </c>
      <c r="C51" s="1290" t="s">
        <v>241</v>
      </c>
      <c r="D51" s="1290" t="s">
        <v>242</v>
      </c>
      <c r="E51" s="2897"/>
      <c r="F51" s="2897"/>
      <c r="G51" s="2897"/>
      <c r="H51" s="2897"/>
      <c r="I51" s="2899"/>
      <c r="J51" s="2898"/>
      <c r="K51" s="1290"/>
      <c r="L51" s="1291"/>
      <c r="P51" s="2900"/>
      <c r="Q51" s="2900"/>
      <c r="R51" s="293"/>
      <c r="S51" s="1205"/>
      <c r="T51" s="226" t="s">
        <v>456</v>
      </c>
      <c r="U51" s="304"/>
      <c r="V51" s="304"/>
      <c r="W51" s="304"/>
      <c r="X51" s="304"/>
      <c r="Y51" s="304"/>
      <c r="Z51" s="304"/>
      <c r="AA51" s="304"/>
      <c r="AB51" s="304"/>
      <c r="AC51" s="304"/>
      <c r="AD51" s="304"/>
      <c r="AE51" s="304"/>
      <c r="AF51" s="304"/>
      <c r="AG51" s="304"/>
      <c r="AH51" s="304"/>
      <c r="AI51" s="304"/>
      <c r="AJ51" s="304"/>
      <c r="AK51" s="304"/>
      <c r="AL51" s="262"/>
      <c r="AM51" s="2921"/>
      <c r="AO51" s="437"/>
      <c r="AP51" s="437" t="str">
        <f t="shared" si="1"/>
        <v>Добавить вид теплоносителя (параметры теплоносителя)</v>
      </c>
      <c r="AQ51" s="437"/>
      <c r="AR51" s="437"/>
      <c r="AS51" s="1082">
        <v>11</v>
      </c>
    </row>
    <row r="52" spans="1:45" ht="11.25" customHeight="1">
      <c r="A52" s="1290" t="s">
        <v>239</v>
      </c>
      <c r="B52" s="1290" t="s">
        <v>240</v>
      </c>
      <c r="C52" s="1290" t="s">
        <v>241</v>
      </c>
      <c r="D52" s="1290" t="s">
        <v>242</v>
      </c>
      <c r="E52" s="2897"/>
      <c r="F52" s="2897"/>
      <c r="G52" s="2897"/>
      <c r="H52" s="2897"/>
      <c r="I52" s="2898"/>
      <c r="J52" s="1290"/>
      <c r="K52" s="1290"/>
      <c r="L52" s="1291"/>
      <c r="P52" s="2900"/>
      <c r="Q52" s="1258"/>
      <c r="R52" s="293"/>
      <c r="S52" s="1205"/>
      <c r="T52" s="225" t="s">
        <v>457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15" customHeight="1">
      <c r="A53" s="1290" t="s">
        <v>239</v>
      </c>
      <c r="B53" s="1290" t="s">
        <v>240</v>
      </c>
      <c r="C53" s="1290" t="s">
        <v>241</v>
      </c>
      <c r="D53" s="1290" t="s">
        <v>242</v>
      </c>
      <c r="E53" s="2897"/>
      <c r="F53" s="2897"/>
      <c r="G53" s="2897"/>
      <c r="H53" s="2896"/>
      <c r="I53" s="1290"/>
      <c r="J53" s="1290"/>
      <c r="K53" s="1290"/>
      <c r="L53" s="1291"/>
      <c r="M53" s="1292"/>
      <c r="N53" s="1292"/>
      <c r="O53" s="474"/>
      <c r="P53" s="297"/>
      <c r="Q53" s="312"/>
      <c r="R53" s="292"/>
      <c r="S53" s="1205"/>
      <c r="T53" s="302" t="s">
        <v>458</v>
      </c>
      <c r="U53" s="304"/>
      <c r="V53" s="304"/>
      <c r="W53" s="304"/>
      <c r="X53" s="304"/>
      <c r="Y53" s="304"/>
      <c r="Z53" s="304"/>
      <c r="AA53" s="304"/>
      <c r="AB53" s="304"/>
      <c r="AC53" s="303"/>
      <c r="AD53" s="304"/>
      <c r="AE53" s="304"/>
      <c r="AF53" s="304"/>
      <c r="AG53" s="304"/>
      <c r="AH53" s="304"/>
      <c r="AI53" s="304"/>
      <c r="AJ53" s="304"/>
      <c r="AK53" s="303"/>
      <c r="AL53" s="304"/>
      <c r="AM53" s="241"/>
      <c r="AO53" s="437"/>
      <c r="AP53" s="437" t="str">
        <f t="shared" si="1"/>
        <v>Добавить схему подключения</v>
      </c>
      <c r="AQ53" s="437"/>
      <c r="AR53" s="437"/>
      <c r="AS53" s="1082">
        <v>14</v>
      </c>
    </row>
    <row r="54" spans="1:45" s="1569" customFormat="1" ht="0.75" customHeight="1">
      <c r="A54" s="1270" t="s">
        <v>239</v>
      </c>
      <c r="B54" s="1270" t="s">
        <v>240</v>
      </c>
      <c r="C54" s="1270" t="s">
        <v>241</v>
      </c>
      <c r="D54" s="1241"/>
      <c r="E54" s="2897"/>
      <c r="F54" s="2897"/>
      <c r="G54" s="2896"/>
      <c r="H54" s="1241"/>
      <c r="I54" s="1241"/>
      <c r="J54" s="1241"/>
      <c r="K54" s="1241"/>
      <c r="L54" s="1266"/>
      <c r="M54" s="1242"/>
      <c r="N54" s="1242"/>
      <c r="P54" s="1243"/>
      <c r="Q54" s="1244"/>
      <c r="R54" s="1243"/>
      <c r="S54" s="1249"/>
      <c r="T54" s="1252" t="s">
        <v>174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0.75" customHeight="1">
      <c r="A55" s="1270" t="s">
        <v>239</v>
      </c>
      <c r="B55" s="1270" t="s">
        <v>240</v>
      </c>
      <c r="C55" s="1241"/>
      <c r="D55" s="1241"/>
      <c r="E55" s="2897"/>
      <c r="F55" s="2896"/>
      <c r="G55" s="1241"/>
      <c r="H55" s="1241"/>
      <c r="I55" s="1241"/>
      <c r="J55" s="1241"/>
      <c r="K55" s="1241"/>
      <c r="L55" s="1266"/>
      <c r="M55" s="1248"/>
      <c r="N55" s="1248"/>
      <c r="P55" s="1243"/>
      <c r="Q55" s="1244"/>
      <c r="R55" s="1243"/>
      <c r="S55" s="1249"/>
      <c r="T55" s="1252" t="s">
        <v>176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0.75" customHeight="1">
      <c r="A56" s="1270" t="s">
        <v>239</v>
      </c>
      <c r="B56" s="1270"/>
      <c r="C56" s="1270"/>
      <c r="D56" s="1270"/>
      <c r="E56" s="2896"/>
      <c r="F56" s="1270"/>
      <c r="G56" s="1270"/>
      <c r="H56" s="1270"/>
      <c r="I56" s="1270"/>
      <c r="J56" s="1270"/>
      <c r="K56" s="1270"/>
      <c r="L56" s="1273"/>
      <c r="M56" s="1248"/>
      <c r="N56" s="1248"/>
      <c r="O56" s="455"/>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0.75" customHeight="1">
      <c r="A57" s="1241"/>
      <c r="B57" s="1241"/>
      <c r="C57" s="1241"/>
      <c r="D57" s="1241"/>
      <c r="E57" s="1270"/>
      <c r="F57" s="1241"/>
      <c r="G57" s="1241"/>
      <c r="H57" s="1241"/>
      <c r="I57" s="1241"/>
      <c r="J57" s="1241"/>
      <c r="K57" s="1241"/>
      <c r="L57" s="1266"/>
      <c r="M57" s="1248"/>
      <c r="N57" s="1248"/>
      <c r="P57" s="1243"/>
      <c r="Q57" s="1244"/>
      <c r="R57" s="1243"/>
      <c r="S57" s="1249"/>
      <c r="T57" s="1252" t="s">
        <v>212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25" customHeight="1">
      <c r="M58" s="1087"/>
      <c r="N58" s="1087"/>
      <c r="O58" s="474"/>
      <c r="P58" s="1082"/>
      <c r="Q58" s="1082"/>
      <c r="R58" s="1082"/>
      <c r="S58" s="1082"/>
      <c r="AN58" s="1082"/>
      <c r="AO58" s="1082"/>
      <c r="AP58" s="1082"/>
      <c r="AQ58" s="1082"/>
      <c r="AR58" s="1082"/>
      <c r="AS58" s="1082">
        <v>11</v>
      </c>
    </row>
    <row r="59" spans="1:45" ht="28.5" customHeight="1">
      <c r="O59" s="474"/>
      <c r="S59" s="1180"/>
      <c r="T59" s="2895"/>
      <c r="U59" s="2895"/>
      <c r="V59" s="2895"/>
      <c r="W59" s="2895"/>
      <c r="X59" s="2895"/>
      <c r="Y59" s="2895"/>
      <c r="Z59" s="2895"/>
      <c r="AA59" s="2895"/>
      <c r="AB59" s="2895"/>
      <c r="AC59" s="2895"/>
      <c r="AD59" s="2895"/>
      <c r="AE59" s="2895"/>
      <c r="AF59" s="2895"/>
      <c r="AG59" s="2895"/>
      <c r="AH59" s="2895"/>
      <c r="AI59" s="2895"/>
      <c r="AJ59" s="2895"/>
      <c r="AK59" s="2895"/>
      <c r="AL59" s="2895"/>
      <c r="AM59" s="2895"/>
      <c r="AS59" s="1082">
        <v>27</v>
      </c>
    </row>
    <row r="60" spans="1:45" ht="78.75" customHeight="1">
      <c r="O60" s="474"/>
      <c r="T60" s="2895"/>
      <c r="U60" s="2895"/>
      <c r="V60" s="2895"/>
      <c r="W60" s="2895"/>
      <c r="X60" s="2895"/>
      <c r="Y60" s="2895"/>
      <c r="Z60" s="2895"/>
      <c r="AA60" s="2895"/>
      <c r="AB60" s="2895"/>
      <c r="AC60" s="2895"/>
      <c r="AD60" s="2895"/>
      <c r="AE60" s="2895"/>
      <c r="AF60" s="2895"/>
      <c r="AG60" s="2895"/>
      <c r="AH60" s="2895"/>
      <c r="AI60" s="2895"/>
      <c r="AJ60" s="2895"/>
      <c r="AK60" s="2895"/>
      <c r="AL60" s="2895"/>
      <c r="AM60" s="2895"/>
      <c r="AS60" s="1082">
        <v>75</v>
      </c>
    </row>
    <row r="61" spans="1:45" ht="15" customHeight="1">
      <c r="O61" s="474"/>
      <c r="AS61" s="1082">
        <v>14</v>
      </c>
    </row>
    <row r="62" spans="1:45" ht="18.75" customHeight="1">
      <c r="O62" s="474"/>
      <c r="S62" s="1180"/>
      <c r="T62" s="2895"/>
      <c r="U62" s="2895"/>
      <c r="V62" s="2895"/>
      <c r="W62" s="2895"/>
      <c r="X62" s="2895"/>
      <c r="Y62" s="2895"/>
      <c r="Z62" s="2895"/>
      <c r="AA62" s="2895"/>
      <c r="AB62" s="2895"/>
      <c r="AC62" s="2895"/>
      <c r="AD62" s="2895"/>
      <c r="AE62" s="2895"/>
      <c r="AF62" s="2895"/>
      <c r="AG62" s="2895"/>
      <c r="AH62" s="2895"/>
      <c r="AI62" s="2895"/>
      <c r="AJ62" s="2895"/>
      <c r="AK62" s="2895"/>
      <c r="AL62" s="2895"/>
      <c r="AM62" s="2895"/>
      <c r="AS62" s="1082">
        <v>18</v>
      </c>
    </row>
    <row r="63" spans="1:45" ht="18.75" customHeight="1">
      <c r="O63" s="474"/>
      <c r="T63" s="2895"/>
      <c r="U63" s="2895"/>
      <c r="V63" s="2895"/>
      <c r="W63" s="2895"/>
      <c r="X63" s="2895"/>
      <c r="Y63" s="2895"/>
      <c r="Z63" s="2895"/>
      <c r="AA63" s="2895"/>
      <c r="AB63" s="2895"/>
      <c r="AC63" s="2895"/>
      <c r="AD63" s="2895"/>
      <c r="AE63" s="2895"/>
      <c r="AF63" s="2895"/>
      <c r="AG63" s="2895"/>
      <c r="AH63" s="2895"/>
      <c r="AI63" s="2895"/>
      <c r="AJ63" s="2895"/>
      <c r="AK63" s="2895"/>
      <c r="AL63" s="2895"/>
      <c r="AM63" s="2895"/>
      <c r="AS63" s="1082">
        <v>18</v>
      </c>
    </row>
    <row r="64" spans="1:45" ht="39.75" customHeight="1">
      <c r="O64" s="474"/>
      <c r="S64" s="1180"/>
      <c r="T64" s="2895"/>
      <c r="U64" s="2895"/>
      <c r="V64" s="2895"/>
      <c r="W64" s="2895"/>
      <c r="X64" s="2895"/>
      <c r="Y64" s="2895"/>
      <c r="Z64" s="2895"/>
      <c r="AA64" s="2895"/>
      <c r="AB64" s="2895"/>
      <c r="AC64" s="2895"/>
      <c r="AD64" s="2895"/>
      <c r="AE64" s="2895"/>
      <c r="AF64" s="2895"/>
      <c r="AG64" s="2895"/>
      <c r="AH64" s="2895"/>
      <c r="AI64" s="2895"/>
      <c r="AJ64" s="2895"/>
      <c r="AK64" s="2895"/>
      <c r="AL64" s="2895"/>
      <c r="AM64" s="2895"/>
      <c r="AS64" s="1082">
        <v>38</v>
      </c>
    </row>
    <row r="65" spans="1:45" ht="22.5" hidden="1" customHeight="1">
      <c r="A65" s="1087" t="s">
        <v>87</v>
      </c>
      <c r="B65" s="1087">
        <v>0</v>
      </c>
      <c r="C65" s="1087">
        <v>0</v>
      </c>
      <c r="D65" s="1087">
        <v>0</v>
      </c>
      <c r="E65" s="1087">
        <v>0</v>
      </c>
      <c r="F65" s="1087">
        <v>0</v>
      </c>
      <c r="G65" s="1087">
        <v>0</v>
      </c>
      <c r="H65" s="1087">
        <v>0</v>
      </c>
      <c r="I65" s="1087">
        <v>0</v>
      </c>
      <c r="J65" s="1087">
        <v>0</v>
      </c>
      <c r="K65" s="1087">
        <v>0</v>
      </c>
      <c r="L65" s="1256">
        <v>0</v>
      </c>
      <c r="M65" s="1289">
        <v>0</v>
      </c>
      <c r="N65" s="1289">
        <v>0</v>
      </c>
      <c r="O65" s="1289">
        <v>0</v>
      </c>
      <c r="P65" s="1255">
        <v>3</v>
      </c>
      <c r="Q65" s="282">
        <v>3</v>
      </c>
      <c r="R65" s="282">
        <v>3</v>
      </c>
      <c r="S65" s="518">
        <v>12</v>
      </c>
      <c r="T65" s="1082">
        <v>31</v>
      </c>
      <c r="U65" s="1082">
        <v>0</v>
      </c>
      <c r="V65" s="1082">
        <v>0</v>
      </c>
      <c r="W65" s="1082">
        <v>0</v>
      </c>
      <c r="X65" s="1082">
        <v>0</v>
      </c>
      <c r="Y65" s="1082">
        <v>0</v>
      </c>
      <c r="Z65" s="1082">
        <v>0</v>
      </c>
      <c r="AA65" s="1082">
        <v>0</v>
      </c>
      <c r="AB65" s="1082">
        <v>0</v>
      </c>
      <c r="AC65" s="1082">
        <v>0</v>
      </c>
      <c r="AD65" s="1082">
        <v>0</v>
      </c>
      <c r="AE65" s="1082">
        <v>24</v>
      </c>
      <c r="AF65" s="1082">
        <v>0</v>
      </c>
      <c r="AG65" s="1082">
        <v>0</v>
      </c>
      <c r="AH65" s="1082">
        <v>11</v>
      </c>
      <c r="AI65" s="1082">
        <v>3</v>
      </c>
      <c r="AJ65" s="1082">
        <v>11</v>
      </c>
      <c r="AK65" s="1082">
        <v>0</v>
      </c>
      <c r="AL65" s="1082">
        <v>4</v>
      </c>
      <c r="AM65" s="1082">
        <v>115</v>
      </c>
      <c r="AN65" s="448">
        <v>10</v>
      </c>
      <c r="AO65" s="448">
        <v>10</v>
      </c>
      <c r="AP65" s="448">
        <v>10</v>
      </c>
      <c r="AQ65" s="448">
        <v>10</v>
      </c>
      <c r="AR65" s="448">
        <v>10</v>
      </c>
      <c r="AS65" s="1082">
        <v>23</v>
      </c>
    </row>
  </sheetData>
  <sheetProtection formatColumns="0" formatRows="0" insertRows="0" deleteColumns="0" deleteRows="0" sort="0" autoFilter="0"/>
  <mergeCells count="110">
    <mergeCell ref="E2:E15"/>
    <mergeCell ref="F3:F14"/>
    <mergeCell ref="G4:G13"/>
    <mergeCell ref="H5:H12"/>
    <mergeCell ref="I6:I11"/>
    <mergeCell ref="P6:P11"/>
    <mergeCell ref="J7:J10"/>
    <mergeCell ref="Q7:Q10"/>
    <mergeCell ref="K8:K9"/>
    <mergeCell ref="AD31:AJ31"/>
    <mergeCell ref="AJ8:AJ9"/>
    <mergeCell ref="AK8:AK9"/>
    <mergeCell ref="Z8:Z9"/>
    <mergeCell ref="S26:AJ26"/>
    <mergeCell ref="S27:AJ27"/>
    <mergeCell ref="S29:T29"/>
    <mergeCell ref="V29:AB29"/>
    <mergeCell ref="AM8:AM10"/>
    <mergeCell ref="AH17:AH18"/>
    <mergeCell ref="AI17:AI18"/>
    <mergeCell ref="AJ17:AJ18"/>
    <mergeCell ref="AK17:AK18"/>
    <mergeCell ref="AA8:AA9"/>
    <mergeCell ref="AB8:AB9"/>
    <mergeCell ref="AC8:AC9"/>
    <mergeCell ref="AH8:AH9"/>
    <mergeCell ref="AI8:AI9"/>
    <mergeCell ref="AM38:AM41"/>
    <mergeCell ref="S39:S41"/>
    <mergeCell ref="T39:T41"/>
    <mergeCell ref="V39:AB39"/>
    <mergeCell ref="AC39:AC41"/>
    <mergeCell ref="AD39:AJ39"/>
    <mergeCell ref="AK39:AK41"/>
    <mergeCell ref="AL39:AL41"/>
    <mergeCell ref="V40:V41"/>
    <mergeCell ref="W40:W41"/>
    <mergeCell ref="Z40:AB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 ref="V5:AC5"/>
    <mergeCell ref="AD5:AL5"/>
    <mergeCell ref="V6:AC6"/>
    <mergeCell ref="AD6:AL6"/>
    <mergeCell ref="V7:AC7"/>
    <mergeCell ref="AD7:AL7"/>
    <mergeCell ref="AH40:AJ40"/>
    <mergeCell ref="AA41:AB41"/>
    <mergeCell ref="AI41:AJ41"/>
    <mergeCell ref="AD32:AJ32"/>
    <mergeCell ref="V37:AC37"/>
    <mergeCell ref="AD37:AK37"/>
    <mergeCell ref="S38:AL38"/>
    <mergeCell ref="S32:T32"/>
    <mergeCell ref="V32:AB32"/>
    <mergeCell ref="AD29:AJ29"/>
    <mergeCell ref="S30:T30"/>
    <mergeCell ref="V30:AB30"/>
    <mergeCell ref="AD30:AJ30"/>
    <mergeCell ref="S31:T31"/>
    <mergeCell ref="V31:AB31"/>
    <mergeCell ref="V2:AC2"/>
    <mergeCell ref="AD2:AL2"/>
    <mergeCell ref="V3:AC3"/>
    <mergeCell ref="AD3:AL3"/>
    <mergeCell ref="V4:AC4"/>
    <mergeCell ref="AD4:AL4"/>
    <mergeCell ref="T62:AM62"/>
    <mergeCell ref="T63:AM63"/>
    <mergeCell ref="T64:AM64"/>
    <mergeCell ref="S34:T34"/>
    <mergeCell ref="V34:AB34"/>
    <mergeCell ref="AD34:AJ34"/>
    <mergeCell ref="S35:T35"/>
    <mergeCell ref="V35:AB35"/>
    <mergeCell ref="AD35:AJ35"/>
    <mergeCell ref="AM49:AM51"/>
    <mergeCell ref="T59:AM59"/>
    <mergeCell ref="T60:AM60"/>
    <mergeCell ref="V47:AC47"/>
    <mergeCell ref="AD47:AL47"/>
    <mergeCell ref="AA42:AB42"/>
    <mergeCell ref="AI42:AJ42"/>
    <mergeCell ref="AD40:AD41"/>
    <mergeCell ref="AE40:AE41"/>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524337 AK8 AK589873 AK655409 AK17 AK720945 AK786481 AK852017 AK917553 AK983089 AK65585 AK131121 AK458801 AK196657 AK262193 AI49 AI8 AC8 AA8 AI17 AK327729 AK393265 AA49 AC49 AK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2007" hidden="1"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8.42578125" style="1562" hidden="1" customWidth="1"/>
  </cols>
  <sheetData>
    <row r="1" spans="1:45" ht="22.5" hidden="1" customHeight="1">
      <c r="Y1" s="265"/>
      <c r="Z1" s="265"/>
      <c r="AG1" s="265"/>
      <c r="AH1" s="265"/>
      <c r="AS1" s="1082" t="s">
        <v>14</v>
      </c>
    </row>
    <row r="2" spans="1:45" ht="21" hidden="1" customHeight="1">
      <c r="A2" s="1290"/>
      <c r="B2" s="1290"/>
      <c r="C2" s="1290"/>
      <c r="D2" s="1290"/>
      <c r="E2" s="2896">
        <v>1</v>
      </c>
      <c r="F2" s="1290"/>
      <c r="G2" s="1290"/>
      <c r="H2" s="1290"/>
      <c r="I2" s="1290"/>
      <c r="J2" s="1290"/>
      <c r="K2" s="1290"/>
      <c r="L2" s="1291"/>
      <c r="M2" s="1292"/>
      <c r="N2" s="1292"/>
      <c r="O2" s="1292"/>
      <c r="P2" s="298"/>
      <c r="Q2" s="297"/>
      <c r="R2" s="292"/>
      <c r="S2" s="1263" t="e">
        <f>INDEX(PT_DIFFERENTIATION_NUM_NTAR,MATCH(A2,PT_DIFFERENTIATION_NTAR_ID,0))</f>
        <v>#N/A</v>
      </c>
      <c r="T2" s="236" t="s">
        <v>128</v>
      </c>
      <c r="U2" s="238"/>
      <c r="V2" s="2890"/>
      <c r="W2" s="2891"/>
      <c r="X2" s="2891"/>
      <c r="Y2" s="2891"/>
      <c r="Z2" s="2891"/>
      <c r="AA2" s="2891"/>
      <c r="AB2" s="2891"/>
      <c r="AC2" s="2892"/>
      <c r="AD2" s="2890" t="e">
        <f>INDEX(PT_DIFFERENTIATION_NTAR,MATCH(A2,PT_DIFFERENTIATION_NTAR_ID,0))</f>
        <v>#N/A</v>
      </c>
      <c r="AE2" s="2891"/>
      <c r="AF2" s="2891"/>
      <c r="AG2" s="2891"/>
      <c r="AH2" s="2891"/>
      <c r="AI2" s="2891"/>
      <c r="AJ2" s="2891"/>
      <c r="AK2" s="2891"/>
      <c r="AL2" s="2892"/>
      <c r="AM2" s="1185" t="s">
        <v>441</v>
      </c>
      <c r="AO2" s="437"/>
      <c r="AP2" s="437" t="str">
        <f t="shared" ref="AP2:AP15" si="0">IF(T2="","",T2)</f>
        <v>Наименование тарифа</v>
      </c>
      <c r="AQ2" s="437"/>
      <c r="AR2" s="437"/>
      <c r="AS2" s="1082">
        <v>0</v>
      </c>
    </row>
    <row r="3" spans="1:45" ht="21" hidden="1" customHeight="1">
      <c r="A3" s="1290"/>
      <c r="B3" s="1290"/>
      <c r="C3" s="1290"/>
      <c r="D3" s="1290"/>
      <c r="E3" s="2897"/>
      <c r="F3" s="2896">
        <v>1</v>
      </c>
      <c r="G3" s="1290"/>
      <c r="H3" s="1290"/>
      <c r="I3" s="1290"/>
      <c r="J3" s="1290"/>
      <c r="K3" s="1290"/>
      <c r="L3" s="1291"/>
      <c r="M3" s="1292"/>
      <c r="N3" s="1292"/>
      <c r="O3" s="1292"/>
      <c r="P3" s="1259"/>
      <c r="Q3" s="289"/>
      <c r="R3" s="290"/>
      <c r="S3" s="1263" t="e">
        <f>INDEX(PT_DIFFERENTIATION_NUM_TER,MATCH(B3,PT_DIFFERENTIATION_TER_ID,0))</f>
        <v>#N/A</v>
      </c>
      <c r="T3" s="246" t="s">
        <v>442</v>
      </c>
      <c r="U3" s="238"/>
      <c r="V3" s="2890"/>
      <c r="W3" s="2891"/>
      <c r="X3" s="2891"/>
      <c r="Y3" s="2891"/>
      <c r="Z3" s="2891"/>
      <c r="AA3" s="2891"/>
      <c r="AB3" s="2891"/>
      <c r="AC3" s="2892"/>
      <c r="AD3" s="2890" t="e">
        <f>INDEX(PT_DIFFERENTIATION_TER,MATCH(B3,PT_DIFFERENTIATION_TER_ID,0))</f>
        <v>#N/A</v>
      </c>
      <c r="AE3" s="2891"/>
      <c r="AF3" s="2891"/>
      <c r="AG3" s="2891"/>
      <c r="AH3" s="2891"/>
      <c r="AI3" s="2891"/>
      <c r="AJ3" s="2891"/>
      <c r="AK3" s="2891"/>
      <c r="AL3" s="2892"/>
      <c r="AM3" s="1185" t="s">
        <v>443</v>
      </c>
      <c r="AO3" s="437"/>
      <c r="AP3" s="437" t="str">
        <f t="shared" si="0"/>
        <v>Территория действия тарифа</v>
      </c>
      <c r="AQ3" s="437"/>
      <c r="AR3" s="437"/>
      <c r="AS3" s="1082">
        <v>0</v>
      </c>
    </row>
    <row r="4" spans="1:45" ht="23.25" hidden="1" customHeight="1">
      <c r="A4" s="1290"/>
      <c r="B4" s="1290"/>
      <c r="C4" s="1290"/>
      <c r="D4" s="1290"/>
      <c r="E4" s="2897"/>
      <c r="F4" s="2897"/>
      <c r="G4" s="2896">
        <v>1</v>
      </c>
      <c r="H4" s="1290"/>
      <c r="I4" s="1290"/>
      <c r="J4" s="1290"/>
      <c r="K4" s="1290"/>
      <c r="L4" s="1291"/>
      <c r="M4" s="1292"/>
      <c r="N4" s="1292"/>
      <c r="O4" s="1292"/>
      <c r="P4" s="291"/>
      <c r="Q4" s="289"/>
      <c r="R4" s="290"/>
      <c r="S4" s="1263" t="e">
        <f>INDEX(PT_DIFFERENTIATION_NUM_CS,MATCH(C4,PT_DIFFERENTIATION_CS_ID,0))</f>
        <v>#N/A</v>
      </c>
      <c r="T4" s="247" t="s">
        <v>444</v>
      </c>
      <c r="U4" s="238"/>
      <c r="V4" s="2890"/>
      <c r="W4" s="2891"/>
      <c r="X4" s="2891"/>
      <c r="Y4" s="2891"/>
      <c r="Z4" s="2891"/>
      <c r="AA4" s="2891"/>
      <c r="AB4" s="2891"/>
      <c r="AC4" s="2892"/>
      <c r="AD4" s="2890" t="e">
        <f>INDEX(PT_DIFFERENTIATION_CS,MATCH(C4,PT_DIFFERENTIATION_CS_ID,0))</f>
        <v>#N/A</v>
      </c>
      <c r="AE4" s="2891"/>
      <c r="AF4" s="2891"/>
      <c r="AG4" s="2891"/>
      <c r="AH4" s="2891"/>
      <c r="AI4" s="2891"/>
      <c r="AJ4" s="2891"/>
      <c r="AK4" s="2891"/>
      <c r="AL4" s="2892"/>
      <c r="AM4" s="1185" t="s">
        <v>445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97"/>
      <c r="F5" s="2897"/>
      <c r="G5" s="2897"/>
      <c r="H5" s="2896">
        <v>1</v>
      </c>
      <c r="I5" s="1290"/>
      <c r="J5" s="1290"/>
      <c r="K5" s="1290"/>
      <c r="L5" s="1291"/>
      <c r="M5" s="1292"/>
      <c r="N5" s="1292"/>
      <c r="O5" s="1292"/>
      <c r="P5" s="291"/>
      <c r="Q5" s="289"/>
      <c r="R5" s="290"/>
      <c r="S5" s="1263" t="e">
        <f>INDEX(PT_DIFFERENTIATION_NUM_IST_TE,MATCH(D5,PT_DIFFERENTIATION_IST_TE_ID,0))</f>
        <v>#N/A</v>
      </c>
      <c r="T5" s="248" t="s">
        <v>446</v>
      </c>
      <c r="U5" s="238"/>
      <c r="V5" s="2890"/>
      <c r="W5" s="2891"/>
      <c r="X5" s="2891"/>
      <c r="Y5" s="2891"/>
      <c r="Z5" s="2891"/>
      <c r="AA5" s="2891"/>
      <c r="AB5" s="2891"/>
      <c r="AC5" s="2892"/>
      <c r="AD5" s="2890" t="e">
        <f>INDEX(PT_DIFFERENTIATION_IST_TE,MATCH(D5,PT_DIFFERENTIATION_IST_TE_ID,0))</f>
        <v>#N/A</v>
      </c>
      <c r="AE5" s="2891"/>
      <c r="AF5" s="2891"/>
      <c r="AG5" s="2891"/>
      <c r="AH5" s="2891"/>
      <c r="AI5" s="2891"/>
      <c r="AJ5" s="2891"/>
      <c r="AK5" s="2891"/>
      <c r="AL5" s="2892"/>
      <c r="AM5" s="1185" t="s">
        <v>447</v>
      </c>
      <c r="AO5" s="437"/>
      <c r="AP5" s="437" t="str">
        <f t="shared" si="0"/>
        <v xml:space="preserve">Источник тепловой энергии  </v>
      </c>
      <c r="AQ5" s="437"/>
      <c r="AR5" s="437"/>
      <c r="AS5" s="1082">
        <v>0</v>
      </c>
    </row>
    <row r="6" spans="1:45" ht="14.25" hidden="1" customHeight="1">
      <c r="A6" s="1290"/>
      <c r="B6" s="1290"/>
      <c r="C6" s="1290"/>
      <c r="D6" s="1290"/>
      <c r="E6" s="2897"/>
      <c r="F6" s="2897"/>
      <c r="G6" s="2897"/>
      <c r="H6" s="2897"/>
      <c r="I6" s="2898" t="e">
        <f>S5&amp;".1"</f>
        <v>#N/A</v>
      </c>
      <c r="J6" s="1290"/>
      <c r="K6" s="1290"/>
      <c r="L6" s="1291" t="s">
        <v>448</v>
      </c>
      <c r="M6" s="474"/>
      <c r="P6" s="2900">
        <v>1</v>
      </c>
      <c r="Q6" s="1258"/>
      <c r="R6" s="293"/>
      <c r="S6" s="972"/>
      <c r="T6" s="1310"/>
      <c r="U6" s="1311"/>
      <c r="V6" s="2928"/>
      <c r="W6" s="2929"/>
      <c r="X6" s="2929"/>
      <c r="Y6" s="2929"/>
      <c r="Z6" s="2929"/>
      <c r="AA6" s="2929"/>
      <c r="AB6" s="2929"/>
      <c r="AC6" s="2930"/>
      <c r="AD6" s="2928"/>
      <c r="AE6" s="2929"/>
      <c r="AF6" s="2929"/>
      <c r="AG6" s="2929"/>
      <c r="AH6" s="2929"/>
      <c r="AI6" s="2929"/>
      <c r="AJ6" s="2929"/>
      <c r="AK6" s="2929"/>
      <c r="AL6" s="2930"/>
      <c r="AM6" s="1312"/>
      <c r="AO6" s="437"/>
      <c r="AP6" s="437" t="str">
        <f t="shared" si="0"/>
        <v/>
      </c>
      <c r="AQ6" s="437"/>
      <c r="AR6" s="437"/>
      <c r="AS6" s="1082">
        <v>0</v>
      </c>
    </row>
    <row r="7" spans="1:45" ht="21" hidden="1" customHeight="1">
      <c r="A7" s="1290"/>
      <c r="B7" s="1290"/>
      <c r="C7" s="1290"/>
      <c r="D7" s="1290"/>
      <c r="E7" s="2897"/>
      <c r="F7" s="2897"/>
      <c r="G7" s="2897"/>
      <c r="H7" s="2897"/>
      <c r="I7" s="2899"/>
      <c r="J7" s="2898" t="e">
        <f>I6&amp;".1"</f>
        <v>#N/A</v>
      </c>
      <c r="K7" s="1290"/>
      <c r="L7" s="1291" t="s">
        <v>451</v>
      </c>
      <c r="M7" s="474"/>
      <c r="N7" s="1293"/>
      <c r="P7" s="2900"/>
      <c r="Q7" s="2900">
        <v>1</v>
      </c>
      <c r="R7" s="294"/>
      <c r="S7" s="1263" t="e">
        <f>$J7</f>
        <v>#N/A</v>
      </c>
      <c r="T7" s="224" t="s">
        <v>452</v>
      </c>
      <c r="U7" s="238"/>
      <c r="V7" s="2884"/>
      <c r="W7" s="2885"/>
      <c r="X7" s="2885"/>
      <c r="Y7" s="2885"/>
      <c r="Z7" s="2885"/>
      <c r="AA7" s="2885"/>
      <c r="AB7" s="2885"/>
      <c r="AC7" s="2886"/>
      <c r="AD7" s="2884"/>
      <c r="AE7" s="2885"/>
      <c r="AF7" s="2885"/>
      <c r="AG7" s="2885"/>
      <c r="AH7" s="2885"/>
      <c r="AI7" s="2885"/>
      <c r="AJ7" s="2885"/>
      <c r="AK7" s="2885"/>
      <c r="AL7" s="2886"/>
      <c r="AM7" s="1185" t="s">
        <v>453</v>
      </c>
      <c r="AO7" s="437"/>
      <c r="AP7" s="437" t="str">
        <f t="shared" si="0"/>
        <v>Группа потребителей</v>
      </c>
      <c r="AQ7" s="437"/>
      <c r="AR7" s="437"/>
      <c r="AS7" s="1082">
        <v>0</v>
      </c>
    </row>
    <row r="8" spans="1:45" ht="21" hidden="1" customHeight="1">
      <c r="A8" s="1290"/>
      <c r="B8" s="1290"/>
      <c r="C8" s="1290"/>
      <c r="D8" s="1290"/>
      <c r="E8" s="2897"/>
      <c r="F8" s="2897"/>
      <c r="G8" s="2897"/>
      <c r="H8" s="2897"/>
      <c r="I8" s="2899"/>
      <c r="J8" s="2899"/>
      <c r="K8" s="2898" t="e">
        <f>J7&amp;".1"</f>
        <v>#N/A</v>
      </c>
      <c r="L8" s="1291" t="s">
        <v>454</v>
      </c>
      <c r="M8" s="474"/>
      <c r="N8" s="1293"/>
      <c r="O8" s="1293"/>
      <c r="P8" s="2900"/>
      <c r="Q8" s="2900"/>
      <c r="R8" s="294">
        <v>1</v>
      </c>
      <c r="S8" s="1263" t="e">
        <f>$K8</f>
        <v>#N/A</v>
      </c>
      <c r="T8" s="1274"/>
      <c r="U8" s="238"/>
      <c r="V8" s="688"/>
      <c r="W8" s="263"/>
      <c r="X8" s="688"/>
      <c r="Y8" s="1184"/>
      <c r="Z8" s="2901"/>
      <c r="AA8" s="2768" t="s">
        <v>71</v>
      </c>
      <c r="AB8" s="2901"/>
      <c r="AC8" s="2768" t="s">
        <v>71</v>
      </c>
      <c r="AD8" s="688"/>
      <c r="AE8" s="263"/>
      <c r="AF8" s="688"/>
      <c r="AG8" s="1184"/>
      <c r="AH8" s="2901"/>
      <c r="AI8" s="2768" t="s">
        <v>71</v>
      </c>
      <c r="AJ8" s="2901"/>
      <c r="AK8" s="2768" t="s">
        <v>71</v>
      </c>
      <c r="AL8" s="263"/>
      <c r="AM8" s="2919" t="s">
        <v>455</v>
      </c>
      <c r="AN8" s="448" t="e">
        <f ca="1">STRCHECKDATE(V9:AL9)</f>
        <v>#NAME?</v>
      </c>
      <c r="AO8" s="437"/>
      <c r="AP8" s="437" t="str">
        <f t="shared" si="0"/>
        <v/>
      </c>
      <c r="AQ8" s="437"/>
      <c r="AR8" s="437"/>
      <c r="AS8" s="1082">
        <v>0</v>
      </c>
    </row>
    <row r="9" spans="1:45" ht="0.75" hidden="1" customHeight="1">
      <c r="A9" s="1290"/>
      <c r="B9" s="1290"/>
      <c r="C9" s="1290"/>
      <c r="D9" s="1290"/>
      <c r="E9" s="2897"/>
      <c r="F9" s="2897"/>
      <c r="G9" s="2897"/>
      <c r="H9" s="2897"/>
      <c r="I9" s="2899"/>
      <c r="J9" s="2899"/>
      <c r="K9" s="2898"/>
      <c r="L9" s="1291"/>
      <c r="M9" s="474"/>
      <c r="N9" s="1293"/>
      <c r="O9" s="1293"/>
      <c r="P9" s="2900"/>
      <c r="Q9" s="2900"/>
      <c r="R9" s="294"/>
      <c r="S9" s="1269"/>
      <c r="T9" s="238"/>
      <c r="U9" s="238"/>
      <c r="V9" s="263"/>
      <c r="W9" s="263"/>
      <c r="X9" s="263"/>
      <c r="Y9" s="266" t="str">
        <f>Z8&amp;"-"&amp;AB8</f>
        <v>-</v>
      </c>
      <c r="Z9" s="2902"/>
      <c r="AA9" s="2768"/>
      <c r="AB9" s="2902"/>
      <c r="AC9" s="2768"/>
      <c r="AD9" s="263"/>
      <c r="AE9" s="263"/>
      <c r="AF9" s="263"/>
      <c r="AG9" s="266" t="str">
        <f>AH8&amp;"-"&amp;AJ8</f>
        <v>-</v>
      </c>
      <c r="AH9" s="2902"/>
      <c r="AI9" s="2768"/>
      <c r="AJ9" s="2902"/>
      <c r="AK9" s="2768"/>
      <c r="AL9" s="263"/>
      <c r="AM9" s="2920"/>
      <c r="AO9" s="437"/>
      <c r="AP9" s="437" t="str">
        <f t="shared" si="0"/>
        <v/>
      </c>
      <c r="AQ9" s="437"/>
      <c r="AR9" s="437"/>
      <c r="AS9" s="1082">
        <v>0</v>
      </c>
    </row>
    <row r="10" spans="1:45" ht="15" hidden="1" customHeight="1">
      <c r="A10" s="1290"/>
      <c r="B10" s="1290"/>
      <c r="C10" s="1290"/>
      <c r="D10" s="1290"/>
      <c r="E10" s="2897"/>
      <c r="F10" s="2897"/>
      <c r="G10" s="2897"/>
      <c r="H10" s="2897"/>
      <c r="I10" s="2899"/>
      <c r="J10" s="2898"/>
      <c r="K10" s="1290"/>
      <c r="L10" s="1291"/>
      <c r="M10" s="474"/>
      <c r="N10" s="1293"/>
      <c r="P10" s="2900"/>
      <c r="Q10" s="2900"/>
      <c r="R10" s="293"/>
      <c r="S10" s="1205"/>
      <c r="T10" s="225" t="s">
        <v>456</v>
      </c>
      <c r="U10" s="304"/>
      <c r="V10" s="304"/>
      <c r="W10" s="304"/>
      <c r="X10" s="304"/>
      <c r="Y10" s="304"/>
      <c r="Z10" s="304"/>
      <c r="AA10" s="304"/>
      <c r="AB10" s="304"/>
      <c r="AC10" s="304"/>
      <c r="AD10" s="304"/>
      <c r="AE10" s="304"/>
      <c r="AF10" s="304"/>
      <c r="AG10" s="304"/>
      <c r="AH10" s="304"/>
      <c r="AI10" s="304"/>
      <c r="AJ10" s="304"/>
      <c r="AK10" s="304"/>
      <c r="AL10" s="262"/>
      <c r="AM10" s="2921"/>
      <c r="AO10" s="437"/>
      <c r="AP10" s="437" t="str">
        <f t="shared" si="0"/>
        <v>Добавить вид теплоносителя (параметры теплоносителя)</v>
      </c>
      <c r="AQ10" s="437"/>
      <c r="AR10" s="437"/>
      <c r="AS10" s="1082">
        <v>0</v>
      </c>
    </row>
    <row r="11" spans="1:45" ht="15" hidden="1" customHeight="1">
      <c r="A11" s="1290"/>
      <c r="B11" s="1290"/>
      <c r="C11" s="1290"/>
      <c r="D11" s="1290"/>
      <c r="E11" s="2897"/>
      <c r="F11" s="2897"/>
      <c r="G11" s="2897"/>
      <c r="H11" s="2897"/>
      <c r="I11" s="2898"/>
      <c r="J11" s="1290"/>
      <c r="K11" s="1290"/>
      <c r="L11" s="1291"/>
      <c r="M11" s="474"/>
      <c r="P11" s="2900"/>
      <c r="Q11" s="1258"/>
      <c r="R11" s="293"/>
      <c r="S11" s="1205"/>
      <c r="T11" s="302" t="s">
        <v>457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897"/>
      <c r="F12" s="2897"/>
      <c r="G12" s="2897"/>
      <c r="H12" s="289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897"/>
      <c r="F13" s="2897"/>
      <c r="G13" s="2896"/>
      <c r="H13" s="1241"/>
      <c r="I13" s="1241"/>
      <c r="J13" s="1241"/>
      <c r="K13" s="1241"/>
      <c r="L13" s="1266"/>
      <c r="M13" s="1242"/>
      <c r="N13" s="1242"/>
      <c r="P13" s="1243"/>
      <c r="Q13" s="1244"/>
      <c r="R13" s="1243"/>
      <c r="S13" s="1245"/>
      <c r="T13" s="1246" t="s">
        <v>174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97"/>
      <c r="F14" s="2896"/>
      <c r="G14" s="1241"/>
      <c r="H14" s="1241"/>
      <c r="I14" s="1241"/>
      <c r="J14" s="1241"/>
      <c r="K14" s="1241"/>
      <c r="L14" s="1266"/>
      <c r="M14" s="1248"/>
      <c r="N14" s="1248"/>
      <c r="P14" s="1243"/>
      <c r="Q14" s="1244"/>
      <c r="R14" s="1243"/>
      <c r="S14" s="1249"/>
      <c r="T14" s="1250" t="s">
        <v>176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96"/>
      <c r="F15" s="1241"/>
      <c r="G15" s="1241"/>
      <c r="H15" s="1241"/>
      <c r="I15" s="1241"/>
      <c r="J15" s="1241"/>
      <c r="K15" s="1241"/>
      <c r="L15" s="1266"/>
      <c r="M15" s="1248"/>
      <c r="N15" s="1248"/>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894"/>
      <c r="AI17" s="2893" t="s">
        <v>71</v>
      </c>
      <c r="AJ17" s="2894"/>
      <c r="AK17" s="2893" t="s">
        <v>71</v>
      </c>
      <c r="AS17" s="1082">
        <v>0</v>
      </c>
    </row>
    <row r="18" spans="1:45" ht="14.25" hidden="1" customHeight="1">
      <c r="AD18" s="1287"/>
      <c r="AE18" s="1287"/>
      <c r="AF18" s="1287"/>
      <c r="AG18" s="266" t="str">
        <f>AH17&amp;"-"&amp;AJ17</f>
        <v>-</v>
      </c>
      <c r="AH18" s="2893"/>
      <c r="AI18" s="2893"/>
      <c r="AJ18" s="2893"/>
      <c r="AK18" s="2893"/>
      <c r="AS18" s="1082">
        <v>0</v>
      </c>
    </row>
    <row r="19" spans="1:45" ht="14.25" hidden="1" customHeight="1">
      <c r="AK19" s="265"/>
      <c r="AS19" s="1082">
        <v>0</v>
      </c>
    </row>
    <row r="20" spans="1:45" s="1293" customFormat="1" ht="22.5" hidden="1" customHeight="1">
      <c r="L20" s="1256"/>
      <c r="M20" s="1289"/>
      <c r="N20" s="1289"/>
      <c r="O20" s="1294" t="s">
        <v>459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460</v>
      </c>
      <c r="P22" s="1289"/>
      <c r="Q22" s="1298"/>
      <c r="R22" s="1298"/>
      <c r="S22" s="666"/>
      <c r="T22" s="1087" t="s">
        <v>461</v>
      </c>
      <c r="AA22" s="124" t="s">
        <v>462</v>
      </c>
      <c r="AC22" s="124" t="s">
        <v>463</v>
      </c>
      <c r="AD22" s="1087" t="s">
        <v>461</v>
      </c>
      <c r="AI22" s="124" t="s">
        <v>464</v>
      </c>
      <c r="AK22" s="124" t="s">
        <v>463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63" customHeight="1">
      <c r="Q26" s="313"/>
      <c r="R26" s="313"/>
      <c r="S26" s="287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77"/>
      <c r="U26" s="2877"/>
      <c r="V26" s="2877"/>
      <c r="W26" s="2877"/>
      <c r="X26" s="2877"/>
      <c r="Y26" s="2877"/>
      <c r="Z26" s="2877"/>
      <c r="AA26" s="2877"/>
      <c r="AB26" s="2877"/>
      <c r="AC26" s="2877"/>
      <c r="AD26" s="2877"/>
      <c r="AE26" s="2877"/>
      <c r="AF26" s="2877"/>
      <c r="AG26" s="2877"/>
      <c r="AH26" s="2877"/>
      <c r="AI26" s="2877"/>
      <c r="AJ26" s="2877"/>
      <c r="AK26" s="1170"/>
      <c r="AS26" s="1082">
        <v>60</v>
      </c>
    </row>
    <row r="27" spans="1:45" ht="15" customHeight="1">
      <c r="Q27" s="313"/>
      <c r="R27" s="313"/>
      <c r="S27" s="2849" t="str">
        <f>IF(org=0,"Не определено",org)</f>
        <v>ТМУП "ТТС"</v>
      </c>
      <c r="T27" s="2849"/>
      <c r="U27" s="2849"/>
      <c r="V27" s="2849"/>
      <c r="W27" s="2849"/>
      <c r="X27" s="2849"/>
      <c r="Y27" s="2849"/>
      <c r="Z27" s="2849"/>
      <c r="AA27" s="2849"/>
      <c r="AB27" s="2849"/>
      <c r="AC27" s="2849"/>
      <c r="AD27" s="2849"/>
      <c r="AE27" s="2849"/>
      <c r="AF27" s="2849"/>
      <c r="AG27" s="2849"/>
      <c r="AH27" s="2849"/>
      <c r="AI27" s="2849"/>
      <c r="AJ27" s="284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887" t="s">
        <v>46</v>
      </c>
      <c r="T29" s="2887"/>
      <c r="U29" s="1299"/>
      <c r="V29" s="2889" t="str">
        <f>IF(TITLE_NAME_OR_PR_CHANGE="",IF(TITLE_NAME_OR_PR="","",TITLE_NAME_OR_PR),TITLE_NAME_OR_PR_CHANGE)</f>
        <v/>
      </c>
      <c r="W29" s="2889"/>
      <c r="X29" s="2889"/>
      <c r="Y29" s="2889"/>
      <c r="Z29" s="2889"/>
      <c r="AA29" s="2889"/>
      <c r="AB29" s="2889"/>
      <c r="AC29" s="264"/>
      <c r="AD29" s="2889" t="str">
        <f>IF(TITLE_NAME_OR_PR_CHANGE="",IF(TITLE_NAME_OR_PR="","",TITLE_NAME_OR_PR),TITLE_NAME_OR_PR_CHANGE)</f>
        <v/>
      </c>
      <c r="AE29" s="2889"/>
      <c r="AF29" s="2889"/>
      <c r="AG29" s="2889"/>
      <c r="AH29" s="2889"/>
      <c r="AI29" s="2889"/>
      <c r="AJ29" s="288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887" t="s">
        <v>465</v>
      </c>
      <c r="T30" s="2887"/>
      <c r="U30" s="1299"/>
      <c r="V30" s="2888" t="str">
        <f>IF(TITLE_DATE_PR_CHANGE="",IF(TITLE_DATE_PR="","",TITLE_DATE_PR),TITLE_DATE_PR_CHANGE)</f>
        <v>14.11.2024</v>
      </c>
      <c r="W30" s="2888"/>
      <c r="X30" s="2888"/>
      <c r="Y30" s="2888"/>
      <c r="Z30" s="2888"/>
      <c r="AA30" s="2888"/>
      <c r="AB30" s="2888"/>
      <c r="AC30" s="264"/>
      <c r="AD30" s="2888" t="str">
        <f>IF(TITLE_DATE_PR_CHANGE="",IF(TITLE_DATE_PR="","",TITLE_DATE_PR),TITLE_DATE_PR_CHANGE)</f>
        <v>14.11.2024</v>
      </c>
      <c r="AE30" s="2888"/>
      <c r="AF30" s="2888"/>
      <c r="AG30" s="2888"/>
      <c r="AH30" s="2888"/>
      <c r="AI30" s="2888"/>
      <c r="AJ30" s="288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887" t="s">
        <v>466</v>
      </c>
      <c r="T31" s="2887"/>
      <c r="U31" s="1299"/>
      <c r="V31" s="2889" t="str">
        <f>IF(TITLE_NUMBER_PR_CHANGE="",IF(TITLE_NUMBER_PR="","",TITLE_NUMBER_PR),TITLE_NUMBER_PR_CHANGE)</f>
        <v>947 от 12.11.2024</v>
      </c>
      <c r="W31" s="2889"/>
      <c r="X31" s="2889"/>
      <c r="Y31" s="2889"/>
      <c r="Z31" s="2889"/>
      <c r="AA31" s="2889"/>
      <c r="AB31" s="2889"/>
      <c r="AC31" s="264"/>
      <c r="AD31" s="2889" t="str">
        <f>IF(TITLE_NUMBER_PR_CHANGE="",IF(TITLE_NUMBER_PR="","",TITLE_NUMBER_PR),TITLE_NUMBER_PR_CHANGE)</f>
        <v>947 от 12.11.2024</v>
      </c>
      <c r="AE31" s="2889"/>
      <c r="AF31" s="2889"/>
      <c r="AG31" s="2889"/>
      <c r="AH31" s="2889"/>
      <c r="AI31" s="2889"/>
      <c r="AJ31" s="288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887" t="s">
        <v>47</v>
      </c>
      <c r="T32" s="2887"/>
      <c r="U32" s="1299"/>
      <c r="V32" s="2889" t="str">
        <f>IF(TITLE_IST_PUB_CHANGE="",IF(TITLE_IST_PUB="","",TITLE_IST_PUB),TITLE_IST_PUB_CHANGE)</f>
        <v/>
      </c>
      <c r="W32" s="2889"/>
      <c r="X32" s="2889"/>
      <c r="Y32" s="2889"/>
      <c r="Z32" s="2889"/>
      <c r="AA32" s="2889"/>
      <c r="AB32" s="2889"/>
      <c r="AC32" s="264"/>
      <c r="AD32" s="2889" t="str">
        <f>IF(TITLE_IST_PUB_CHANGE="",IF(TITLE_IST_PUB="","",TITLE_IST_PUB),TITLE_IST_PUB_CHANGE)</f>
        <v/>
      </c>
      <c r="AE32" s="2889"/>
      <c r="AF32" s="2889"/>
      <c r="AG32" s="2889"/>
      <c r="AH32" s="2889"/>
      <c r="AI32" s="2889"/>
      <c r="AJ32" s="2889"/>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887" t="s">
        <v>467</v>
      </c>
      <c r="T34" s="2887"/>
      <c r="U34" s="1299"/>
      <c r="V34" s="2888" t="str">
        <f>IF(TITLE_DATE_PR_CHANGE="",IF(TITLE_DATE_PR="","",TITLE_DATE_PR),TITLE_DATE_PR_CHANGE)</f>
        <v>14.11.2024</v>
      </c>
      <c r="W34" s="2888"/>
      <c r="X34" s="2888"/>
      <c r="Y34" s="2888"/>
      <c r="Z34" s="2888"/>
      <c r="AA34" s="2888"/>
      <c r="AB34" s="2888"/>
      <c r="AC34" s="264"/>
      <c r="AD34" s="2888" t="str">
        <f>IF(TITLE_DATE_PR_CHANGE="",IF(TITLE_DATE_PR="","",TITLE_DATE_PR),TITLE_DATE_PR_CHANGE)</f>
        <v>14.11.2024</v>
      </c>
      <c r="AE34" s="2888"/>
      <c r="AF34" s="2888"/>
      <c r="AG34" s="2888"/>
      <c r="AH34" s="2888"/>
      <c r="AI34" s="2888"/>
      <c r="AJ34" s="2888"/>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887" t="s">
        <v>468</v>
      </c>
      <c r="T35" s="2887"/>
      <c r="U35" s="1299"/>
      <c r="V35" s="2889" t="str">
        <f>IF(TITLE_NUMBER_PR_CHANGE="",IF(TITLE_NUMBER_PR="","",TITLE_NUMBER_PR),TITLE_NUMBER_PR_CHANGE)</f>
        <v>947 от 12.11.2024</v>
      </c>
      <c r="W35" s="2889"/>
      <c r="X35" s="2889"/>
      <c r="Y35" s="2889"/>
      <c r="Z35" s="2889"/>
      <c r="AA35" s="2889"/>
      <c r="AB35" s="2889"/>
      <c r="AC35" s="264"/>
      <c r="AD35" s="2889" t="str">
        <f>IF(TITLE_NUMBER_PR_CHANGE="",IF(TITLE_NUMBER_PR="","",TITLE_NUMBER_PR),TITLE_NUMBER_PR_CHANGE)</f>
        <v>947 от 12.11.2024</v>
      </c>
      <c r="AE35" s="2889"/>
      <c r="AF35" s="2889"/>
      <c r="AG35" s="2889"/>
      <c r="AH35" s="2889"/>
      <c r="AI35" s="2889"/>
      <c r="AJ35" s="288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469</v>
      </c>
      <c r="AD36" s="264"/>
      <c r="AE36" s="264"/>
      <c r="AF36" s="264"/>
      <c r="AG36" s="264"/>
      <c r="AH36" s="264"/>
      <c r="AI36" s="264"/>
      <c r="AJ36" s="264"/>
      <c r="AK36" s="216" t="s">
        <v>469</v>
      </c>
      <c r="AN36" s="305"/>
      <c r="AO36" s="305"/>
      <c r="AP36" s="305"/>
      <c r="AQ36" s="305"/>
      <c r="AR36" s="305"/>
      <c r="AS36" s="355">
        <v>0</v>
      </c>
    </row>
    <row r="37" spans="1:45" ht="15" customHeight="1">
      <c r="Q37" s="313"/>
      <c r="R37" s="313"/>
      <c r="S37" s="1202"/>
      <c r="T37" s="300"/>
      <c r="U37" s="1171"/>
      <c r="V37" s="2908"/>
      <c r="W37" s="2908"/>
      <c r="X37" s="2908"/>
      <c r="Y37" s="2908"/>
      <c r="Z37" s="2908"/>
      <c r="AA37" s="2908"/>
      <c r="AB37" s="2908"/>
      <c r="AC37" s="2908"/>
      <c r="AD37" s="2908"/>
      <c r="AE37" s="2908"/>
      <c r="AF37" s="2908"/>
      <c r="AG37" s="2908"/>
      <c r="AH37" s="2908"/>
      <c r="AI37" s="2908"/>
      <c r="AJ37" s="2908"/>
      <c r="AK37" s="2908"/>
      <c r="AS37" s="1082">
        <v>14</v>
      </c>
    </row>
    <row r="38" spans="1:45" ht="15" customHeight="1">
      <c r="Q38" s="313"/>
      <c r="R38" s="313"/>
      <c r="S38" s="2758" t="s">
        <v>345</v>
      </c>
      <c r="T38" s="2758"/>
      <c r="U38" s="2758"/>
      <c r="V38" s="2758"/>
      <c r="W38" s="2758"/>
      <c r="X38" s="2758"/>
      <c r="Y38" s="2758"/>
      <c r="Z38" s="2758"/>
      <c r="AA38" s="2758"/>
      <c r="AB38" s="2758"/>
      <c r="AC38" s="2758"/>
      <c r="AD38" s="2758"/>
      <c r="AE38" s="2758"/>
      <c r="AF38" s="2758"/>
      <c r="AG38" s="2758"/>
      <c r="AH38" s="2758"/>
      <c r="AI38" s="2758"/>
      <c r="AJ38" s="2758"/>
      <c r="AK38" s="2758"/>
      <c r="AL38" s="2758"/>
      <c r="AM38" s="2758" t="s">
        <v>346</v>
      </c>
      <c r="AS38" s="1082">
        <v>14</v>
      </c>
    </row>
    <row r="39" spans="1:45" ht="15" customHeight="1">
      <c r="Q39" s="313"/>
      <c r="R39" s="313"/>
      <c r="S39" s="2909" t="s">
        <v>93</v>
      </c>
      <c r="T39" s="2857" t="s">
        <v>470</v>
      </c>
      <c r="U39" s="239"/>
      <c r="V39" s="2910" t="s">
        <v>471</v>
      </c>
      <c r="W39" s="2911"/>
      <c r="X39" s="2911"/>
      <c r="Y39" s="2911"/>
      <c r="Z39" s="2911"/>
      <c r="AA39" s="2911"/>
      <c r="AB39" s="2912"/>
      <c r="AC39" s="2913" t="s">
        <v>472</v>
      </c>
      <c r="AD39" s="2910" t="s">
        <v>471</v>
      </c>
      <c r="AE39" s="2911"/>
      <c r="AF39" s="2911"/>
      <c r="AG39" s="2911"/>
      <c r="AH39" s="2911"/>
      <c r="AI39" s="2911"/>
      <c r="AJ39" s="2912"/>
      <c r="AK39" s="2913" t="s">
        <v>473</v>
      </c>
      <c r="AL39" s="2916" t="s">
        <v>474</v>
      </c>
      <c r="AM39" s="2758"/>
      <c r="AS39" s="1082">
        <v>14</v>
      </c>
    </row>
    <row r="40" spans="1:45" ht="36" customHeight="1">
      <c r="Q40" s="313"/>
      <c r="R40" s="313"/>
      <c r="S40" s="2909"/>
      <c r="T40" s="2857"/>
      <c r="U40" s="961"/>
      <c r="V40" s="2829" t="s">
        <v>475</v>
      </c>
      <c r="W40" s="2905"/>
      <c r="X40" s="2740" t="s">
        <v>477</v>
      </c>
      <c r="Y40" s="2739"/>
      <c r="Z40" s="2740" t="s">
        <v>478</v>
      </c>
      <c r="AA40" s="2745"/>
      <c r="AB40" s="2739"/>
      <c r="AC40" s="2914"/>
      <c r="AD40" s="2829" t="s">
        <v>496</v>
      </c>
      <c r="AE40" s="2905"/>
      <c r="AF40" s="2740" t="s">
        <v>477</v>
      </c>
      <c r="AG40" s="2739"/>
      <c r="AH40" s="2740" t="s">
        <v>478</v>
      </c>
      <c r="AI40" s="2745"/>
      <c r="AJ40" s="2739"/>
      <c r="AK40" s="2914"/>
      <c r="AL40" s="2917"/>
      <c r="AM40" s="2758"/>
      <c r="AS40" s="1082">
        <v>34</v>
      </c>
    </row>
    <row r="41" spans="1:45" ht="36" customHeight="1">
      <c r="A41" s="1297"/>
      <c r="B41" s="1297" t="s">
        <v>140</v>
      </c>
      <c r="C41" s="1297" t="s">
        <v>141</v>
      </c>
      <c r="D41" s="1297" t="s">
        <v>142</v>
      </c>
      <c r="E41" s="1291" t="s">
        <v>479</v>
      </c>
      <c r="F41" s="1291" t="s">
        <v>480</v>
      </c>
      <c r="G41" s="1291" t="s">
        <v>481</v>
      </c>
      <c r="H41" s="1291" t="s">
        <v>482</v>
      </c>
      <c r="I41" s="1291" t="s">
        <v>483</v>
      </c>
      <c r="J41" s="1291" t="s">
        <v>484</v>
      </c>
      <c r="K41" s="1291" t="s">
        <v>485</v>
      </c>
      <c r="L41" s="1291" t="s">
        <v>460</v>
      </c>
      <c r="Q41" s="313"/>
      <c r="R41" s="313"/>
      <c r="S41" s="2909"/>
      <c r="T41" s="2857"/>
      <c r="U41" s="240"/>
      <c r="V41" s="2882"/>
      <c r="W41" s="2906"/>
      <c r="X41" s="1149" t="s">
        <v>486</v>
      </c>
      <c r="Y41" s="1149" t="s">
        <v>487</v>
      </c>
      <c r="Z41" s="1265" t="s">
        <v>488</v>
      </c>
      <c r="AA41" s="2862" t="s">
        <v>489</v>
      </c>
      <c r="AB41" s="2876"/>
      <c r="AC41" s="2915"/>
      <c r="AD41" s="2882"/>
      <c r="AE41" s="2906"/>
      <c r="AF41" s="1149" t="s">
        <v>486</v>
      </c>
      <c r="AG41" s="1149" t="s">
        <v>487</v>
      </c>
      <c r="AH41" s="1265" t="s">
        <v>488</v>
      </c>
      <c r="AI41" s="2862" t="s">
        <v>489</v>
      </c>
      <c r="AJ41" s="2876"/>
      <c r="AK41" s="2915"/>
      <c r="AL41" s="2918"/>
      <c r="AM41" s="275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114</v>
      </c>
      <c r="T42" s="1182" t="s">
        <v>115</v>
      </c>
      <c r="U42" s="1172" t="str">
        <f ca="1">OFFSET(U42,0,-1)</f>
        <v>2</v>
      </c>
      <c r="V42" s="1262">
        <f ca="1">OFFSET(V42,0,-1)+1</f>
        <v>3</v>
      </c>
      <c r="W42" s="1262"/>
      <c r="X42" s="1262">
        <f ca="1">OFFSET(X42,0,-1)+1</f>
        <v>1</v>
      </c>
      <c r="Y42" s="1262">
        <f ca="1">OFFSET(Y42,0,-1)+1</f>
        <v>2</v>
      </c>
      <c r="Z42" s="1262">
        <f ca="1">OFFSET(Z42,0,-1)+1</f>
        <v>3</v>
      </c>
      <c r="AA42" s="2907">
        <f ca="1">OFFSET(AA42,0,-1)+1</f>
        <v>4</v>
      </c>
      <c r="AB42" s="2907"/>
      <c r="AC42" s="1262">
        <f ca="1">OFFSET(AC42,0,-2)+1</f>
        <v>5</v>
      </c>
      <c r="AD42" s="1262">
        <f ca="1">OFFSET(AD42,0,-1)+1</f>
        <v>6</v>
      </c>
      <c r="AE42" s="1262"/>
      <c r="AF42" s="1262">
        <f ca="1">OFFSET(AF42,0,-1)+1</f>
        <v>1</v>
      </c>
      <c r="AG42" s="1262">
        <f ca="1">OFFSET(AG42,0,-1)+1</f>
        <v>2</v>
      </c>
      <c r="AH42" s="1262">
        <f ca="1">OFFSET(AH42,0,-1)+1</f>
        <v>3</v>
      </c>
      <c r="AI42" s="2907">
        <f ca="1">OFFSET(AI42,0,-1)+1</f>
        <v>4</v>
      </c>
      <c r="AJ42" s="2907"/>
      <c r="AK42" s="1262">
        <f ca="1">OFFSET(AK42,0,-2)+1</f>
        <v>5</v>
      </c>
      <c r="AL42" s="1172">
        <f ca="1">OFFSET(AL42,0,-1)</f>
        <v>5</v>
      </c>
      <c r="AM42" s="1262">
        <f ca="1">OFFSET(AM42,0,-1)+1</f>
        <v>6</v>
      </c>
      <c r="AN42" s="448"/>
      <c r="AO42" s="448"/>
      <c r="AP42" s="448"/>
      <c r="AQ42" s="448"/>
      <c r="AR42" s="448"/>
      <c r="AS42" s="433">
        <v>0</v>
      </c>
    </row>
    <row r="43" spans="1:45" ht="21.75" customHeight="1">
      <c r="A43" s="1290" t="s">
        <v>215</v>
      </c>
      <c r="B43" s="1290"/>
      <c r="C43" s="1290"/>
      <c r="D43" s="1290"/>
      <c r="E43" s="289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128</v>
      </c>
      <c r="U43" s="238"/>
      <c r="V43" s="2890"/>
      <c r="W43" s="2891"/>
      <c r="X43" s="2891"/>
      <c r="Y43" s="2891"/>
      <c r="Z43" s="2891"/>
      <c r="AA43" s="2891"/>
      <c r="AB43" s="2891"/>
      <c r="AC43" s="2892"/>
      <c r="AD43" s="2890" t="str">
        <f>INDEX(PT_DIFFERENTIATION_NTAR,MATCH(A43,PT_DIFFERENTIATION_NTAR_ID,0))</f>
        <v/>
      </c>
      <c r="AE43" s="2891"/>
      <c r="AF43" s="2891"/>
      <c r="AG43" s="2891"/>
      <c r="AH43" s="2891"/>
      <c r="AI43" s="2891"/>
      <c r="AJ43" s="2891"/>
      <c r="AK43" s="2891"/>
      <c r="AL43" s="289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75" customHeight="1">
      <c r="A44" s="1290" t="s">
        <v>215</v>
      </c>
      <c r="B44" s="1290" t="s">
        <v>216</v>
      </c>
      <c r="C44" s="1290"/>
      <c r="D44" s="1290"/>
      <c r="E44" s="2897"/>
      <c r="F44" s="2896">
        <v>1</v>
      </c>
      <c r="G44" s="1290"/>
      <c r="H44" s="1290"/>
      <c r="I44" s="1290"/>
      <c r="J44" s="1290"/>
      <c r="K44" s="1290"/>
      <c r="L44" s="1291"/>
      <c r="M44" s="1292"/>
      <c r="N44" s="1292"/>
      <c r="O44" s="1292"/>
      <c r="P44" s="1259"/>
      <c r="Q44" s="289"/>
      <c r="R44" s="290"/>
      <c r="S44" s="1263" t="str">
        <f>INDEX(PT_DIFFERENTIATION_NUM_TER,MATCH(B44,PT_DIFFERENTIATION_TER_ID,0))</f>
        <v>.</v>
      </c>
      <c r="T44" s="246" t="s">
        <v>442</v>
      </c>
      <c r="U44" s="238"/>
      <c r="V44" s="2890"/>
      <c r="W44" s="2891"/>
      <c r="X44" s="2891"/>
      <c r="Y44" s="2891"/>
      <c r="Z44" s="2891"/>
      <c r="AA44" s="2891"/>
      <c r="AB44" s="2891"/>
      <c r="AC44" s="2892"/>
      <c r="AD44" s="2890" t="str">
        <f>INDEX(PT_DIFFERENTIATION_TER,MATCH(B44,PT_DIFFERENTIATION_TER_ID,0))</f>
        <v/>
      </c>
      <c r="AE44" s="2891"/>
      <c r="AF44" s="2891"/>
      <c r="AG44" s="2891"/>
      <c r="AH44" s="2891"/>
      <c r="AI44" s="2891"/>
      <c r="AJ44" s="2891"/>
      <c r="AK44" s="2891"/>
      <c r="AL44" s="2892"/>
      <c r="AM44" s="1185" t="s">
        <v>443</v>
      </c>
      <c r="AO44" s="437"/>
      <c r="AP44" s="437" t="str">
        <f t="shared" si="1"/>
        <v>Территория действия тарифа</v>
      </c>
      <c r="AQ44" s="437"/>
      <c r="AR44" s="437"/>
      <c r="AS44" s="1082">
        <v>21</v>
      </c>
    </row>
    <row r="45" spans="1:45" ht="24" customHeight="1">
      <c r="A45" s="1290" t="s">
        <v>215</v>
      </c>
      <c r="B45" s="1290" t="s">
        <v>216</v>
      </c>
      <c r="C45" s="1290" t="s">
        <v>217</v>
      </c>
      <c r="D45" s="1290"/>
      <c r="E45" s="2897"/>
      <c r="F45" s="2897"/>
      <c r="G45" s="2896">
        <v>1</v>
      </c>
      <c r="H45" s="1290"/>
      <c r="I45" s="1290"/>
      <c r="J45" s="1290"/>
      <c r="K45" s="1290"/>
      <c r="L45" s="1291"/>
      <c r="M45" s="1292"/>
      <c r="N45" s="1292"/>
      <c r="O45" s="1292"/>
      <c r="P45" s="291"/>
      <c r="Q45" s="289"/>
      <c r="R45" s="290"/>
      <c r="S45" s="1263" t="str">
        <f>INDEX(PT_DIFFERENTIATION_NUM_CS,MATCH(C45,PT_DIFFERENTIATION_CS_ID,0))</f>
        <v>..</v>
      </c>
      <c r="T45" s="247" t="s">
        <v>444</v>
      </c>
      <c r="U45" s="238"/>
      <c r="V45" s="2890"/>
      <c r="W45" s="2891"/>
      <c r="X45" s="2891"/>
      <c r="Y45" s="2891"/>
      <c r="Z45" s="2891"/>
      <c r="AA45" s="2891"/>
      <c r="AB45" s="2891"/>
      <c r="AC45" s="2892"/>
      <c r="AD45" s="2890" t="str">
        <f>INDEX(PT_DIFFERENTIATION_CS,MATCH(C45,PT_DIFFERENTIATION_CS_ID,0))</f>
        <v/>
      </c>
      <c r="AE45" s="2891"/>
      <c r="AF45" s="2891"/>
      <c r="AG45" s="2891"/>
      <c r="AH45" s="2891"/>
      <c r="AI45" s="2891"/>
      <c r="AJ45" s="2891"/>
      <c r="AK45" s="2891"/>
      <c r="AL45" s="2892"/>
      <c r="AM45" s="1185" t="s">
        <v>445</v>
      </c>
      <c r="AO45" s="437"/>
      <c r="AP45" s="437" t="str">
        <f t="shared" si="1"/>
        <v xml:space="preserve">Наименование системы теплоснабжения </v>
      </c>
      <c r="AQ45" s="437"/>
      <c r="AR45" s="437"/>
      <c r="AS45" s="1082">
        <v>23</v>
      </c>
    </row>
    <row r="46" spans="1:45" ht="21.75" customHeight="1">
      <c r="A46" s="1290" t="s">
        <v>215</v>
      </c>
      <c r="B46" s="1290" t="s">
        <v>216</v>
      </c>
      <c r="C46" s="1290" t="s">
        <v>217</v>
      </c>
      <c r="D46" s="1290" t="s">
        <v>218</v>
      </c>
      <c r="E46" s="2897"/>
      <c r="F46" s="2897"/>
      <c r="G46" s="2897"/>
      <c r="H46" s="2896">
        <v>1</v>
      </c>
      <c r="I46" s="1290"/>
      <c r="J46" s="1290"/>
      <c r="K46" s="1290"/>
      <c r="L46" s="1291"/>
      <c r="M46" s="1292"/>
      <c r="N46" s="1292"/>
      <c r="O46" s="1292"/>
      <c r="P46" s="291"/>
      <c r="Q46" s="289"/>
      <c r="R46" s="290"/>
      <c r="S46" s="1263" t="str">
        <f>INDEX(PT_DIFFERENTIATION_NUM_IST_TE,MATCH(D46,PT_DIFFERENTIATION_IST_TE_ID,0))</f>
        <v>...</v>
      </c>
      <c r="T46" s="248" t="s">
        <v>446</v>
      </c>
      <c r="U46" s="238"/>
      <c r="V46" s="2890"/>
      <c r="W46" s="2891"/>
      <c r="X46" s="2891"/>
      <c r="Y46" s="2891"/>
      <c r="Z46" s="2891"/>
      <c r="AA46" s="2891"/>
      <c r="AB46" s="2891"/>
      <c r="AC46" s="2892"/>
      <c r="AD46" s="2890" t="str">
        <f>INDEX(PT_DIFFERENTIATION_IST_TE,MATCH(D46,PT_DIFFERENTIATION_IST_TE_ID,0))</f>
        <v/>
      </c>
      <c r="AE46" s="2891"/>
      <c r="AF46" s="2891"/>
      <c r="AG46" s="2891"/>
      <c r="AH46" s="2891"/>
      <c r="AI46" s="2891"/>
      <c r="AJ46" s="2891"/>
      <c r="AK46" s="2891"/>
      <c r="AL46" s="2892"/>
      <c r="AM46" s="1185" t="s">
        <v>447</v>
      </c>
      <c r="AO46" s="437"/>
      <c r="AP46" s="437" t="str">
        <f t="shared" si="1"/>
        <v xml:space="preserve">Источник тепловой энергии  </v>
      </c>
      <c r="AQ46" s="437"/>
      <c r="AR46" s="437"/>
      <c r="AS46" s="1082">
        <v>21</v>
      </c>
    </row>
    <row r="47" spans="1:45" s="1569" customFormat="1" ht="0" hidden="1" customHeight="1">
      <c r="A47" s="1270" t="s">
        <v>215</v>
      </c>
      <c r="B47" s="1270" t="s">
        <v>216</v>
      </c>
      <c r="C47" s="1270" t="s">
        <v>217</v>
      </c>
      <c r="D47" s="1270" t="s">
        <v>218</v>
      </c>
      <c r="E47" s="2897"/>
      <c r="F47" s="2897"/>
      <c r="G47" s="2897"/>
      <c r="H47" s="2897"/>
      <c r="I47" s="2898" t="str">
        <f>S46&amp;".1"</f>
        <v>....1</v>
      </c>
      <c r="J47" s="1270"/>
      <c r="K47" s="1270"/>
      <c r="L47" s="1273" t="s">
        <v>448</v>
      </c>
      <c r="M47" s="447"/>
      <c r="N47" s="447"/>
      <c r="O47" s="447"/>
      <c r="P47" s="2900">
        <v>1</v>
      </c>
      <c r="Q47" s="1258"/>
      <c r="R47" s="293"/>
      <c r="S47" s="972"/>
      <c r="T47" s="1310"/>
      <c r="U47" s="1311"/>
      <c r="V47" s="2928"/>
      <c r="W47" s="2929"/>
      <c r="X47" s="2929"/>
      <c r="Y47" s="2929"/>
      <c r="Z47" s="2929"/>
      <c r="AA47" s="2929"/>
      <c r="AB47" s="2929"/>
      <c r="AC47" s="2930"/>
      <c r="AD47" s="2928"/>
      <c r="AE47" s="2929"/>
      <c r="AF47" s="2929"/>
      <c r="AG47" s="2929"/>
      <c r="AH47" s="2929"/>
      <c r="AI47" s="2929"/>
      <c r="AJ47" s="2929"/>
      <c r="AK47" s="2929"/>
      <c r="AL47" s="2930"/>
      <c r="AM47" s="1312"/>
      <c r="AO47" s="437"/>
      <c r="AP47" s="437" t="str">
        <f t="shared" si="1"/>
        <v/>
      </c>
      <c r="AQ47" s="437"/>
      <c r="AR47" s="437"/>
      <c r="AS47" s="448">
        <v>0</v>
      </c>
    </row>
    <row r="48" spans="1:45" ht="21.75" customHeight="1">
      <c r="A48" s="1290" t="s">
        <v>215</v>
      </c>
      <c r="B48" s="1290" t="s">
        <v>216</v>
      </c>
      <c r="C48" s="1290" t="s">
        <v>217</v>
      </c>
      <c r="D48" s="1290" t="s">
        <v>218</v>
      </c>
      <c r="E48" s="2897"/>
      <c r="F48" s="2897"/>
      <c r="G48" s="2897"/>
      <c r="H48" s="2897"/>
      <c r="I48" s="2899"/>
      <c r="J48" s="2898" t="str">
        <f>S46&amp;".1"</f>
        <v>....1</v>
      </c>
      <c r="K48" s="1290"/>
      <c r="L48" s="1291" t="s">
        <v>451</v>
      </c>
      <c r="P48" s="2900"/>
      <c r="Q48" s="2900">
        <v>1</v>
      </c>
      <c r="R48" s="294"/>
      <c r="S48" s="1263" t="str">
        <f>$J48</f>
        <v>....1</v>
      </c>
      <c r="T48" s="224" t="s">
        <v>452</v>
      </c>
      <c r="U48" s="238"/>
      <c r="V48" s="2884"/>
      <c r="W48" s="2885"/>
      <c r="X48" s="2885"/>
      <c r="Y48" s="2885"/>
      <c r="Z48" s="2885"/>
      <c r="AA48" s="2885"/>
      <c r="AB48" s="2885"/>
      <c r="AC48" s="2886"/>
      <c r="AD48" s="2884"/>
      <c r="AE48" s="2885"/>
      <c r="AF48" s="2885"/>
      <c r="AG48" s="2885"/>
      <c r="AH48" s="2885"/>
      <c r="AI48" s="2885"/>
      <c r="AJ48" s="2885"/>
      <c r="AK48" s="2885"/>
      <c r="AL48" s="2886"/>
      <c r="AM48" s="1185" t="s">
        <v>453</v>
      </c>
      <c r="AO48" s="437"/>
      <c r="AP48" s="437" t="str">
        <f t="shared" si="1"/>
        <v>Группа потребителей</v>
      </c>
      <c r="AQ48" s="437"/>
      <c r="AR48" s="437"/>
      <c r="AS48" s="1082">
        <v>21</v>
      </c>
    </row>
    <row r="49" spans="1:45" ht="21.75" customHeight="1">
      <c r="A49" s="1290" t="s">
        <v>215</v>
      </c>
      <c r="B49" s="1290" t="s">
        <v>216</v>
      </c>
      <c r="C49" s="1290" t="s">
        <v>217</v>
      </c>
      <c r="D49" s="1290" t="s">
        <v>218</v>
      </c>
      <c r="E49" s="2897"/>
      <c r="F49" s="2897"/>
      <c r="G49" s="2897"/>
      <c r="H49" s="2897"/>
      <c r="I49" s="2899"/>
      <c r="J49" s="2899"/>
      <c r="K49" s="2898" t="str">
        <f>J48&amp;".1"</f>
        <v>....1.1</v>
      </c>
      <c r="L49" s="1291" t="s">
        <v>454</v>
      </c>
      <c r="P49" s="2900"/>
      <c r="Q49" s="2900"/>
      <c r="R49" s="294">
        <v>1</v>
      </c>
      <c r="S49" s="1263" t="str">
        <f>$K49</f>
        <v>....1.1</v>
      </c>
      <c r="T49" s="1274"/>
      <c r="U49" s="238"/>
      <c r="V49" s="688"/>
      <c r="W49" s="263"/>
      <c r="X49" s="688"/>
      <c r="Y49" s="1184"/>
      <c r="Z49" s="2901"/>
      <c r="AA49" s="2768" t="s">
        <v>71</v>
      </c>
      <c r="AB49" s="2901"/>
      <c r="AC49" s="2768" t="s">
        <v>71</v>
      </c>
      <c r="AD49" s="688"/>
      <c r="AE49" s="263"/>
      <c r="AF49" s="688"/>
      <c r="AG49" s="1184"/>
      <c r="AH49" s="2901"/>
      <c r="AI49" s="2768" t="s">
        <v>71</v>
      </c>
      <c r="AJ49" s="2903"/>
      <c r="AK49" s="2768" t="s">
        <v>71</v>
      </c>
      <c r="AL49" s="1275"/>
      <c r="AM49" s="2919" t="s">
        <v>497</v>
      </c>
      <c r="AN49" s="448" t="e">
        <f ca="1">STRCHECKDATE(V50:AL50)</f>
        <v>#NAME?</v>
      </c>
      <c r="AO49" s="437"/>
      <c r="AP49" s="437" t="str">
        <f t="shared" si="1"/>
        <v/>
      </c>
      <c r="AQ49" s="437"/>
      <c r="AR49" s="437"/>
      <c r="AS49" s="1082">
        <v>21</v>
      </c>
    </row>
    <row r="50" spans="1:45" ht="0.75" customHeight="1">
      <c r="A50" s="1290" t="s">
        <v>215</v>
      </c>
      <c r="B50" s="1290" t="s">
        <v>216</v>
      </c>
      <c r="C50" s="1290" t="s">
        <v>217</v>
      </c>
      <c r="D50" s="1290" t="s">
        <v>218</v>
      </c>
      <c r="E50" s="2897"/>
      <c r="F50" s="2897"/>
      <c r="G50" s="2897"/>
      <c r="H50" s="2897"/>
      <c r="I50" s="2899"/>
      <c r="J50" s="2899"/>
      <c r="K50" s="2898"/>
      <c r="L50" s="1291"/>
      <c r="P50" s="2900"/>
      <c r="Q50" s="2900"/>
      <c r="R50" s="294"/>
      <c r="S50" s="1269"/>
      <c r="T50" s="238"/>
      <c r="U50" s="238"/>
      <c r="V50" s="263"/>
      <c r="W50" s="263"/>
      <c r="X50" s="263"/>
      <c r="Y50" s="266" t="str">
        <f>Z49&amp;"-"&amp;AB49</f>
        <v>-</v>
      </c>
      <c r="Z50" s="2902"/>
      <c r="AA50" s="2768"/>
      <c r="AB50" s="2902"/>
      <c r="AC50" s="2768"/>
      <c r="AD50" s="263"/>
      <c r="AE50" s="263"/>
      <c r="AF50" s="263"/>
      <c r="AG50" s="266" t="str">
        <f>AH49&amp;"-"&amp;AJ49</f>
        <v>-</v>
      </c>
      <c r="AH50" s="2902"/>
      <c r="AI50" s="2768"/>
      <c r="AJ50" s="2904"/>
      <c r="AK50" s="2768"/>
      <c r="AL50" s="1276"/>
      <c r="AM50" s="2920"/>
      <c r="AO50" s="437"/>
      <c r="AP50" s="437" t="str">
        <f t="shared" si="1"/>
        <v/>
      </c>
      <c r="AQ50" s="437"/>
      <c r="AR50" s="437"/>
      <c r="AS50" s="1082">
        <v>1</v>
      </c>
    </row>
    <row r="51" spans="1:45" ht="11.25" customHeight="1">
      <c r="A51" s="1290" t="s">
        <v>215</v>
      </c>
      <c r="B51" s="1290" t="s">
        <v>216</v>
      </c>
      <c r="C51" s="1290" t="s">
        <v>217</v>
      </c>
      <c r="D51" s="1290" t="s">
        <v>218</v>
      </c>
      <c r="E51" s="2897"/>
      <c r="F51" s="2897"/>
      <c r="G51" s="2897"/>
      <c r="H51" s="2897"/>
      <c r="I51" s="2899"/>
      <c r="J51" s="2898"/>
      <c r="K51" s="1290"/>
      <c r="L51" s="1291"/>
      <c r="P51" s="2900"/>
      <c r="Q51" s="2900"/>
      <c r="R51" s="293"/>
      <c r="S51" s="1205"/>
      <c r="T51" s="225" t="s">
        <v>456</v>
      </c>
      <c r="U51" s="304"/>
      <c r="V51" s="304"/>
      <c r="W51" s="304"/>
      <c r="X51" s="304"/>
      <c r="Y51" s="304"/>
      <c r="Z51" s="304"/>
      <c r="AA51" s="304"/>
      <c r="AB51" s="304"/>
      <c r="AC51" s="304"/>
      <c r="AD51" s="304"/>
      <c r="AE51" s="304"/>
      <c r="AF51" s="304"/>
      <c r="AG51" s="304"/>
      <c r="AH51" s="304"/>
      <c r="AI51" s="304"/>
      <c r="AJ51" s="304"/>
      <c r="AK51" s="304"/>
      <c r="AL51" s="262"/>
      <c r="AM51" s="2921"/>
      <c r="AO51" s="437"/>
      <c r="AP51" s="437" t="str">
        <f t="shared" si="1"/>
        <v>Добавить вид теплоносителя (параметры теплоносителя)</v>
      </c>
      <c r="AQ51" s="437"/>
      <c r="AR51" s="437"/>
      <c r="AS51" s="1082">
        <v>11</v>
      </c>
    </row>
    <row r="52" spans="1:45" ht="11.25" customHeight="1">
      <c r="A52" s="1290" t="s">
        <v>215</v>
      </c>
      <c r="B52" s="1290" t="s">
        <v>216</v>
      </c>
      <c r="C52" s="1290" t="s">
        <v>217</v>
      </c>
      <c r="D52" s="1290" t="s">
        <v>218</v>
      </c>
      <c r="E52" s="2897"/>
      <c r="F52" s="2897"/>
      <c r="G52" s="2897"/>
      <c r="H52" s="2897"/>
      <c r="I52" s="2898"/>
      <c r="J52" s="1290"/>
      <c r="K52" s="1290"/>
      <c r="L52" s="1291"/>
      <c r="P52" s="2900"/>
      <c r="Q52" s="1258"/>
      <c r="R52" s="293"/>
      <c r="S52" s="1205"/>
      <c r="T52" s="302" t="s">
        <v>457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215</v>
      </c>
      <c r="B53" s="1290" t="s">
        <v>216</v>
      </c>
      <c r="C53" s="1290" t="s">
        <v>217</v>
      </c>
      <c r="D53" s="1290" t="s">
        <v>218</v>
      </c>
      <c r="E53" s="2897"/>
      <c r="F53" s="2897"/>
      <c r="G53" s="2897"/>
      <c r="H53" s="289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75" customHeight="1">
      <c r="A54" s="1270" t="s">
        <v>215</v>
      </c>
      <c r="B54" s="1270" t="s">
        <v>216</v>
      </c>
      <c r="C54" s="1270" t="s">
        <v>217</v>
      </c>
      <c r="D54" s="1241"/>
      <c r="E54" s="2897"/>
      <c r="F54" s="2897"/>
      <c r="G54" s="2896"/>
      <c r="H54" s="1241"/>
      <c r="I54" s="1241"/>
      <c r="J54" s="1241"/>
      <c r="K54" s="1241"/>
      <c r="L54" s="1266"/>
      <c r="M54" s="1242"/>
      <c r="N54" s="1242"/>
      <c r="P54" s="1243"/>
      <c r="Q54" s="1244"/>
      <c r="R54" s="1243"/>
      <c r="S54" s="1249"/>
      <c r="T54" s="1252" t="s">
        <v>174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0.75" customHeight="1">
      <c r="A55" s="1270" t="s">
        <v>215</v>
      </c>
      <c r="B55" s="1270" t="s">
        <v>216</v>
      </c>
      <c r="C55" s="1241"/>
      <c r="D55" s="1241"/>
      <c r="E55" s="2897"/>
      <c r="F55" s="2896"/>
      <c r="G55" s="1241"/>
      <c r="H55" s="1241"/>
      <c r="I55" s="1241"/>
      <c r="J55" s="1241"/>
      <c r="K55" s="1241"/>
      <c r="L55" s="1266"/>
      <c r="M55" s="1248"/>
      <c r="N55" s="1248"/>
      <c r="P55" s="1243"/>
      <c r="Q55" s="1244"/>
      <c r="R55" s="1243"/>
      <c r="S55" s="1249"/>
      <c r="T55" s="1252" t="s">
        <v>176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0.75" customHeight="1">
      <c r="A56" s="1270" t="s">
        <v>215</v>
      </c>
      <c r="B56" s="1270"/>
      <c r="C56" s="1270"/>
      <c r="D56" s="1270"/>
      <c r="E56" s="2896"/>
      <c r="F56" s="1270"/>
      <c r="G56" s="1270"/>
      <c r="H56" s="1270"/>
      <c r="I56" s="1270"/>
      <c r="J56" s="1270"/>
      <c r="K56" s="1270"/>
      <c r="L56" s="1273"/>
      <c r="M56" s="1248"/>
      <c r="N56" s="1248"/>
      <c r="O56" s="455"/>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0.75" customHeight="1">
      <c r="A57" s="1241"/>
      <c r="B57" s="1241"/>
      <c r="C57" s="1241"/>
      <c r="D57" s="1241"/>
      <c r="E57" s="1270"/>
      <c r="F57" s="1241"/>
      <c r="G57" s="1241"/>
      <c r="H57" s="1241"/>
      <c r="I57" s="1241"/>
      <c r="J57" s="1241"/>
      <c r="K57" s="1241"/>
      <c r="L57" s="1266"/>
      <c r="M57" s="1248"/>
      <c r="N57" s="1248"/>
      <c r="P57" s="1243"/>
      <c r="Q57" s="1244"/>
      <c r="R57" s="1243"/>
      <c r="S57" s="1249"/>
      <c r="T57" s="1252" t="s">
        <v>212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25" customHeight="1">
      <c r="M58" s="1087"/>
      <c r="N58" s="1087"/>
      <c r="O58" s="474"/>
      <c r="P58" s="1082"/>
      <c r="Q58" s="1082"/>
      <c r="R58" s="1082"/>
      <c r="S58" s="1082"/>
      <c r="AN58" s="1082"/>
      <c r="AO58" s="1082"/>
      <c r="AP58" s="1082"/>
      <c r="AQ58" s="1082"/>
      <c r="AR58" s="1082"/>
      <c r="AS58" s="1082">
        <v>11</v>
      </c>
    </row>
    <row r="59" spans="1:45" ht="20.25" customHeight="1">
      <c r="O59" s="474"/>
      <c r="S59" s="1180"/>
      <c r="T59" s="2895"/>
      <c r="U59" s="2895"/>
      <c r="V59" s="2895"/>
      <c r="W59" s="2895"/>
      <c r="X59" s="2895"/>
      <c r="Y59" s="2895"/>
      <c r="Z59" s="2895"/>
      <c r="AA59" s="2895"/>
      <c r="AB59" s="2895"/>
      <c r="AC59" s="2895"/>
      <c r="AD59" s="2895"/>
      <c r="AE59" s="2895"/>
      <c r="AF59" s="2895"/>
      <c r="AG59" s="2895"/>
      <c r="AH59" s="2895"/>
      <c r="AI59" s="2895"/>
      <c r="AJ59" s="2895"/>
      <c r="AK59" s="2895"/>
      <c r="AL59" s="2895"/>
      <c r="AM59" s="2895"/>
      <c r="AS59" s="1082">
        <v>19</v>
      </c>
    </row>
    <row r="60" spans="1:45" ht="29.25" customHeight="1">
      <c r="O60" s="474"/>
      <c r="T60" s="2895"/>
      <c r="U60" s="2895"/>
      <c r="V60" s="2895"/>
      <c r="W60" s="2895"/>
      <c r="X60" s="2895"/>
      <c r="Y60" s="2895"/>
      <c r="Z60" s="2895"/>
      <c r="AA60" s="2895"/>
      <c r="AB60" s="2895"/>
      <c r="AC60" s="2895"/>
      <c r="AD60" s="2895"/>
      <c r="AE60" s="2895"/>
      <c r="AF60" s="2895"/>
      <c r="AG60" s="2895"/>
      <c r="AH60" s="2895"/>
      <c r="AI60" s="2895"/>
      <c r="AJ60" s="2895"/>
      <c r="AK60" s="2895"/>
      <c r="AL60" s="2895"/>
      <c r="AM60" s="2895"/>
      <c r="AS60" s="1082">
        <v>28</v>
      </c>
    </row>
    <row r="61" spans="1:45" ht="42" customHeight="1">
      <c r="O61" s="474"/>
      <c r="T61" s="2895"/>
      <c r="U61" s="2895"/>
      <c r="V61" s="2895"/>
      <c r="W61" s="2895"/>
      <c r="X61" s="2895"/>
      <c r="Y61" s="2895"/>
      <c r="Z61" s="2895"/>
      <c r="AA61" s="2895"/>
      <c r="AB61" s="2895"/>
      <c r="AC61" s="2895"/>
      <c r="AD61" s="2895"/>
      <c r="AE61" s="2895"/>
      <c r="AF61" s="2895"/>
      <c r="AG61" s="2895"/>
      <c r="AH61" s="2895"/>
      <c r="AI61" s="2895"/>
      <c r="AJ61" s="2895"/>
      <c r="AK61" s="2895"/>
      <c r="AL61" s="2895"/>
      <c r="AM61" s="2895"/>
      <c r="AS61" s="1082">
        <v>40</v>
      </c>
    </row>
    <row r="62" spans="1:45" ht="15" customHeight="1">
      <c r="O62" s="474"/>
      <c r="AS62" s="1082">
        <v>14</v>
      </c>
    </row>
    <row r="63" spans="1:45" ht="21" customHeight="1">
      <c r="O63" s="474"/>
      <c r="S63" s="1180"/>
      <c r="T63" s="2798"/>
      <c r="U63" s="2895"/>
      <c r="V63" s="2895"/>
      <c r="W63" s="2895"/>
      <c r="X63" s="2895"/>
      <c r="Y63" s="2895"/>
      <c r="Z63" s="2895"/>
      <c r="AA63" s="2895"/>
      <c r="AB63" s="2895"/>
      <c r="AC63" s="2895"/>
      <c r="AD63" s="2895"/>
      <c r="AE63" s="2895"/>
      <c r="AF63" s="2895"/>
      <c r="AG63" s="2895"/>
      <c r="AH63" s="2895"/>
      <c r="AI63" s="2895"/>
      <c r="AJ63" s="2895"/>
      <c r="AK63" s="2895"/>
      <c r="AL63" s="2895"/>
      <c r="AM63" s="2895"/>
      <c r="AS63" s="1082">
        <v>20</v>
      </c>
    </row>
    <row r="64" spans="1:45" ht="29.25" customHeight="1">
      <c r="O64" s="474"/>
      <c r="T64" s="2895"/>
      <c r="U64" s="2895"/>
      <c r="V64" s="2895"/>
      <c r="W64" s="2895"/>
      <c r="X64" s="2895"/>
      <c r="Y64" s="2895"/>
      <c r="Z64" s="2895"/>
      <c r="AA64" s="2895"/>
      <c r="AB64" s="2895"/>
      <c r="AC64" s="2895"/>
      <c r="AD64" s="2895"/>
      <c r="AE64" s="2895"/>
      <c r="AF64" s="2895"/>
      <c r="AG64" s="2895"/>
      <c r="AH64" s="2895"/>
      <c r="AI64" s="2895"/>
      <c r="AJ64" s="2895"/>
      <c r="AK64" s="2895"/>
      <c r="AL64" s="2895"/>
      <c r="AM64" s="2895"/>
      <c r="AS64" s="1082">
        <v>28</v>
      </c>
    </row>
    <row r="65" spans="1:45" ht="36" customHeight="1">
      <c r="T65" s="2895"/>
      <c r="U65" s="2895"/>
      <c r="V65" s="2895"/>
      <c r="W65" s="2895"/>
      <c r="X65" s="2895"/>
      <c r="Y65" s="2895"/>
      <c r="Z65" s="2895"/>
      <c r="AA65" s="2895"/>
      <c r="AB65" s="2895"/>
      <c r="AC65" s="2895"/>
      <c r="AD65" s="2895"/>
      <c r="AE65" s="2895"/>
      <c r="AF65" s="2895"/>
      <c r="AG65" s="2895"/>
      <c r="AH65" s="2895"/>
      <c r="AI65" s="2895"/>
      <c r="AJ65" s="2895"/>
      <c r="AK65" s="2895"/>
      <c r="AL65" s="2895"/>
      <c r="AM65" s="2895"/>
      <c r="AS65" s="1082">
        <v>34</v>
      </c>
    </row>
    <row r="66" spans="1:45" ht="22.5" hidden="1" customHeight="1">
      <c r="A66" s="1087" t="s">
        <v>87</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V47:AC47"/>
    <mergeCell ref="AD47:AL47"/>
    <mergeCell ref="AD31:AJ31"/>
    <mergeCell ref="AD32:AJ32"/>
    <mergeCell ref="AE40:AE41"/>
    <mergeCell ref="AF40:AG40"/>
    <mergeCell ref="AH40:AJ40"/>
    <mergeCell ref="AI41:AJ41"/>
    <mergeCell ref="AD37:AK37"/>
    <mergeCell ref="I47:I52"/>
    <mergeCell ref="V32:AB32"/>
    <mergeCell ref="E2:E15"/>
    <mergeCell ref="F3:F14"/>
    <mergeCell ref="G4:G13"/>
    <mergeCell ref="H5:H12"/>
    <mergeCell ref="I6:I11"/>
    <mergeCell ref="P6:P11"/>
    <mergeCell ref="J7:J10"/>
    <mergeCell ref="Q7:Q10"/>
    <mergeCell ref="K8:K9"/>
    <mergeCell ref="S31:T31"/>
    <mergeCell ref="V31:AB31"/>
    <mergeCell ref="S32:T32"/>
    <mergeCell ref="AA41:AB41"/>
    <mergeCell ref="V37:AC37"/>
    <mergeCell ref="S38:AL38"/>
    <mergeCell ref="S26:AJ26"/>
    <mergeCell ref="S27:AJ27"/>
    <mergeCell ref="AC49:AC50"/>
    <mergeCell ref="AA49:AA50"/>
    <mergeCell ref="AB49:AB50"/>
    <mergeCell ref="AH49:AH50"/>
    <mergeCell ref="AI49:AI50"/>
    <mergeCell ref="AM8:AM10"/>
    <mergeCell ref="AH17:AH18"/>
    <mergeCell ref="AI17:AI18"/>
    <mergeCell ref="AJ17:AJ18"/>
    <mergeCell ref="AK17:AK18"/>
    <mergeCell ref="Z8:Z9"/>
    <mergeCell ref="AA8:AA9"/>
    <mergeCell ref="S29:T29"/>
    <mergeCell ref="S30:T30"/>
    <mergeCell ref="V29:AB29"/>
    <mergeCell ref="AD29:AJ29"/>
    <mergeCell ref="V30:AB30"/>
    <mergeCell ref="AD30:AJ30"/>
    <mergeCell ref="AH8:AH9"/>
    <mergeCell ref="AI8:AI9"/>
    <mergeCell ref="AJ8:AJ9"/>
    <mergeCell ref="AK8:AK9"/>
    <mergeCell ref="AB8:AB9"/>
    <mergeCell ref="AC8:AC9"/>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M49:AM51"/>
    <mergeCell ref="T59:AM59"/>
    <mergeCell ref="T60:AM60"/>
    <mergeCell ref="AA42:AB42"/>
    <mergeCell ref="AI42:AJ42"/>
    <mergeCell ref="E43:E56"/>
    <mergeCell ref="V43:AC43"/>
    <mergeCell ref="AD43:AL43"/>
    <mergeCell ref="F44:F55"/>
    <mergeCell ref="V44:AC44"/>
    <mergeCell ref="AD44:AL44"/>
    <mergeCell ref="G45:G54"/>
    <mergeCell ref="V45:AC45"/>
    <mergeCell ref="AD45:AL45"/>
    <mergeCell ref="H46:H53"/>
    <mergeCell ref="V46:AC46"/>
    <mergeCell ref="AD46:AL46"/>
    <mergeCell ref="P47:P52"/>
    <mergeCell ref="J48:J51"/>
    <mergeCell ref="Q48:Q51"/>
    <mergeCell ref="V48:AC48"/>
    <mergeCell ref="AD48:AL48"/>
    <mergeCell ref="K49:K50"/>
    <mergeCell ref="Z49:Z50"/>
    <mergeCell ref="T64:AM64"/>
    <mergeCell ref="T65:AM65"/>
    <mergeCell ref="S35:T35"/>
    <mergeCell ref="V35:AB35"/>
    <mergeCell ref="AD35:AJ35"/>
    <mergeCell ref="S34:T34"/>
    <mergeCell ref="V34:AB34"/>
    <mergeCell ref="AD34:AJ34"/>
    <mergeCell ref="V2:AC2"/>
    <mergeCell ref="AD2:AL2"/>
    <mergeCell ref="V3:AC3"/>
    <mergeCell ref="AD3:AL3"/>
    <mergeCell ref="V4:AC4"/>
    <mergeCell ref="AD4:AL4"/>
    <mergeCell ref="V5:AC5"/>
    <mergeCell ref="AD5:AL5"/>
    <mergeCell ref="V6:AC6"/>
    <mergeCell ref="AD6:AL6"/>
    <mergeCell ref="V7:AC7"/>
    <mergeCell ref="AD7:AL7"/>
    <mergeCell ref="T63:AM63"/>
    <mergeCell ref="T61:AM61"/>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2007" hidden="1"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A1" s="1796"/>
      <c r="Y1" s="265"/>
      <c r="Z1" s="265"/>
      <c r="AG1" s="265"/>
      <c r="AH1" s="265"/>
      <c r="AS1" s="1082" t="s">
        <v>14</v>
      </c>
    </row>
    <row r="2" spans="1:45" ht="21" hidden="1" customHeight="1">
      <c r="A2" s="1290"/>
      <c r="B2" s="1290"/>
      <c r="C2" s="1290"/>
      <c r="D2" s="1290"/>
      <c r="E2" s="2896">
        <v>1</v>
      </c>
      <c r="F2" s="1290"/>
      <c r="G2" s="1290"/>
      <c r="H2" s="1290"/>
      <c r="I2" s="1290"/>
      <c r="J2" s="1290"/>
      <c r="K2" s="1290"/>
      <c r="L2" s="1291"/>
      <c r="M2" s="1292"/>
      <c r="N2" s="1292"/>
      <c r="O2" s="1292"/>
      <c r="P2" s="298"/>
      <c r="Q2" s="297"/>
      <c r="R2" s="292"/>
      <c r="S2" s="1263" t="e">
        <f>INDEX(PT_DIFFERENTIATION_NUM_NTAR,MATCH(A2,PT_DIFFERENTIATION_NTAR_ID,0))</f>
        <v>#N/A</v>
      </c>
      <c r="T2" s="236" t="s">
        <v>128</v>
      </c>
      <c r="U2" s="238"/>
      <c r="V2" s="2890"/>
      <c r="W2" s="2891"/>
      <c r="X2" s="2891"/>
      <c r="Y2" s="2891"/>
      <c r="Z2" s="2891"/>
      <c r="AA2" s="2891"/>
      <c r="AB2" s="2891"/>
      <c r="AC2" s="2892"/>
      <c r="AD2" s="2890" t="e">
        <f>INDEX(PT_DIFFERENTIATION_NTAR,MATCH(A2,PT_DIFFERENTIATION_NTAR_ID,0))</f>
        <v>#N/A</v>
      </c>
      <c r="AE2" s="2891"/>
      <c r="AF2" s="2891"/>
      <c r="AG2" s="2891"/>
      <c r="AH2" s="2891"/>
      <c r="AI2" s="2891"/>
      <c r="AJ2" s="2891"/>
      <c r="AK2" s="2891"/>
      <c r="AL2" s="2892"/>
      <c r="AM2" s="1185" t="s">
        <v>441</v>
      </c>
      <c r="AO2" s="437"/>
      <c r="AP2" s="437" t="str">
        <f t="shared" ref="AP2:AP15" si="0">IF(T2="","",T2)</f>
        <v>Наименование тарифа</v>
      </c>
      <c r="AQ2" s="437"/>
      <c r="AR2" s="437"/>
      <c r="AS2" s="1082">
        <v>0</v>
      </c>
    </row>
    <row r="3" spans="1:45" ht="21" hidden="1" customHeight="1">
      <c r="A3" s="1290"/>
      <c r="B3" s="1290"/>
      <c r="C3" s="1290"/>
      <c r="D3" s="1290"/>
      <c r="E3" s="2897"/>
      <c r="F3" s="2896">
        <v>1</v>
      </c>
      <c r="G3" s="1290"/>
      <c r="H3" s="1290"/>
      <c r="I3" s="1290"/>
      <c r="J3" s="1290"/>
      <c r="K3" s="1290"/>
      <c r="L3" s="1291"/>
      <c r="M3" s="1292"/>
      <c r="N3" s="1292"/>
      <c r="O3" s="1292"/>
      <c r="P3" s="1259"/>
      <c r="Q3" s="289"/>
      <c r="R3" s="290"/>
      <c r="S3" s="1263" t="e">
        <f>INDEX(PT_DIFFERENTIATION_NUM_TER,MATCH(B3,PT_DIFFERENTIATION_TER_ID,0))</f>
        <v>#N/A</v>
      </c>
      <c r="T3" s="246" t="s">
        <v>442</v>
      </c>
      <c r="U3" s="238"/>
      <c r="V3" s="2890"/>
      <c r="W3" s="2891"/>
      <c r="X3" s="2891"/>
      <c r="Y3" s="2891"/>
      <c r="Z3" s="2891"/>
      <c r="AA3" s="2891"/>
      <c r="AB3" s="2891"/>
      <c r="AC3" s="2892"/>
      <c r="AD3" s="2890" t="e">
        <f>INDEX(PT_DIFFERENTIATION_TER,MATCH(B3,PT_DIFFERENTIATION_TER_ID,0))</f>
        <v>#N/A</v>
      </c>
      <c r="AE3" s="2891"/>
      <c r="AF3" s="2891"/>
      <c r="AG3" s="2891"/>
      <c r="AH3" s="2891"/>
      <c r="AI3" s="2891"/>
      <c r="AJ3" s="2891"/>
      <c r="AK3" s="2891"/>
      <c r="AL3" s="2892"/>
      <c r="AM3" s="1185" t="s">
        <v>443</v>
      </c>
      <c r="AO3" s="437"/>
      <c r="AP3" s="437" t="str">
        <f t="shared" si="0"/>
        <v>Территория действия тарифа</v>
      </c>
      <c r="AQ3" s="437"/>
      <c r="AR3" s="437"/>
      <c r="AS3" s="1082">
        <v>0</v>
      </c>
    </row>
    <row r="4" spans="1:45" ht="23.25" hidden="1" customHeight="1">
      <c r="A4" s="1290"/>
      <c r="B4" s="1290"/>
      <c r="C4" s="1290"/>
      <c r="D4" s="1290"/>
      <c r="E4" s="2897"/>
      <c r="F4" s="2897"/>
      <c r="G4" s="2896">
        <v>1</v>
      </c>
      <c r="H4" s="1290"/>
      <c r="I4" s="1290"/>
      <c r="J4" s="1290"/>
      <c r="K4" s="1290"/>
      <c r="L4" s="1291"/>
      <c r="M4" s="1292"/>
      <c r="N4" s="1292"/>
      <c r="O4" s="1292"/>
      <c r="P4" s="291"/>
      <c r="Q4" s="289"/>
      <c r="R4" s="290"/>
      <c r="S4" s="1930" t="e">
        <f>INDEX(PT_DIFFERENTIATION_NUM_CS,MATCH(C4,PT_DIFFERENTIATION_CS_ID,0))</f>
        <v>#N/A</v>
      </c>
      <c r="T4" s="1934" t="s">
        <v>444</v>
      </c>
      <c r="U4" s="1935"/>
      <c r="V4" s="2933"/>
      <c r="W4" s="2934"/>
      <c r="X4" s="2934"/>
      <c r="Y4" s="2934"/>
      <c r="Z4" s="2934"/>
      <c r="AA4" s="2934"/>
      <c r="AB4" s="2934"/>
      <c r="AC4" s="2935"/>
      <c r="AD4" s="2933" t="e">
        <f>INDEX(PT_DIFFERENTIATION_CS,MATCH(C4,PT_DIFFERENTIATION_CS_ID,0))</f>
        <v>#N/A</v>
      </c>
      <c r="AE4" s="2934"/>
      <c r="AF4" s="2934"/>
      <c r="AG4" s="2934"/>
      <c r="AH4" s="2934"/>
      <c r="AI4" s="2934"/>
      <c r="AJ4" s="2934"/>
      <c r="AK4" s="2934"/>
      <c r="AL4" s="2935"/>
      <c r="AM4" s="1185" t="s">
        <v>445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97"/>
      <c r="F5" s="2897"/>
      <c r="G5" s="2897"/>
      <c r="H5" s="2896">
        <v>1</v>
      </c>
      <c r="I5" s="1290"/>
      <c r="J5" s="1290"/>
      <c r="K5" s="1290"/>
      <c r="L5" s="1291"/>
      <c r="M5" s="1292"/>
      <c r="N5" s="1292"/>
      <c r="O5" s="1292"/>
      <c r="P5" s="291"/>
      <c r="Q5" s="289"/>
      <c r="R5" s="1562"/>
      <c r="S5" s="1929" t="e">
        <f>INDEX(PT_DIFFERENTIATION_NUM_IST_TE,MATCH(D5,PT_DIFFERENTIATION_IST_TE_ID,0))</f>
        <v>#N/A</v>
      </c>
      <c r="T5" s="248" t="s">
        <v>446</v>
      </c>
      <c r="U5" s="238"/>
      <c r="V5" s="2936"/>
      <c r="W5" s="2936"/>
      <c r="X5" s="2936"/>
      <c r="Y5" s="2936"/>
      <c r="Z5" s="2936"/>
      <c r="AA5" s="2936"/>
      <c r="AB5" s="2936"/>
      <c r="AC5" s="2936"/>
      <c r="AD5" s="2936" t="e">
        <f>INDEX(PT_DIFFERENTIATION_IST_TE,MATCH(D5,PT_DIFFERENTIATION_IST_TE_ID,0))</f>
        <v>#N/A</v>
      </c>
      <c r="AE5" s="2936"/>
      <c r="AF5" s="2936"/>
      <c r="AG5" s="2936"/>
      <c r="AH5" s="2936"/>
      <c r="AI5" s="2936"/>
      <c r="AJ5" s="2936"/>
      <c r="AK5" s="2936"/>
      <c r="AL5" s="2936"/>
      <c r="AM5" s="1932" t="s">
        <v>447</v>
      </c>
      <c r="AO5" s="437"/>
      <c r="AP5" s="437" t="str">
        <f t="shared" si="0"/>
        <v xml:space="preserve">Источник тепловой энергии  </v>
      </c>
      <c r="AQ5" s="437"/>
      <c r="AR5" s="437"/>
      <c r="AS5" s="1082">
        <v>0</v>
      </c>
    </row>
    <row r="6" spans="1:45" ht="0.75" hidden="1" customHeight="1">
      <c r="A6" s="1290"/>
      <c r="B6" s="1290"/>
      <c r="C6" s="1290"/>
      <c r="D6" s="1290"/>
      <c r="E6" s="2897"/>
      <c r="F6" s="2897"/>
      <c r="G6" s="2897"/>
      <c r="H6" s="2897"/>
      <c r="I6" s="2898" t="e">
        <f>S5&amp;".1"</f>
        <v>#N/A</v>
      </c>
      <c r="J6" s="1290"/>
      <c r="K6" s="1290"/>
      <c r="L6" s="1291" t="s">
        <v>448</v>
      </c>
      <c r="M6" s="474"/>
      <c r="P6" s="2900">
        <v>1</v>
      </c>
      <c r="Q6" s="1258"/>
      <c r="R6" s="1928"/>
      <c r="S6" s="972"/>
      <c r="T6" s="1310"/>
      <c r="U6" s="1311"/>
      <c r="V6" s="2937"/>
      <c r="W6" s="2937"/>
      <c r="X6" s="2937"/>
      <c r="Y6" s="2937"/>
      <c r="Z6" s="2937"/>
      <c r="AA6" s="2937"/>
      <c r="AB6" s="2937"/>
      <c r="AC6" s="2937"/>
      <c r="AD6" s="2937"/>
      <c r="AE6" s="2937"/>
      <c r="AF6" s="2937"/>
      <c r="AG6" s="2937"/>
      <c r="AH6" s="2937"/>
      <c r="AI6" s="2937"/>
      <c r="AJ6" s="2937"/>
      <c r="AK6" s="2937"/>
      <c r="AL6" s="2937"/>
      <c r="AM6" s="1933"/>
      <c r="AO6" s="437"/>
      <c r="AP6" s="437" t="str">
        <f t="shared" si="0"/>
        <v/>
      </c>
      <c r="AQ6" s="437"/>
      <c r="AR6" s="437"/>
      <c r="AS6" s="1082">
        <v>0</v>
      </c>
    </row>
    <row r="7" spans="1:45" ht="84" hidden="1" customHeight="1">
      <c r="A7" s="1290"/>
      <c r="B7" s="1290"/>
      <c r="C7" s="1290"/>
      <c r="D7" s="1290"/>
      <c r="E7" s="2897"/>
      <c r="F7" s="2897"/>
      <c r="G7" s="2897"/>
      <c r="H7" s="2897"/>
      <c r="I7" s="2899"/>
      <c r="J7" s="2898" t="e">
        <f>I6&amp;".1"</f>
        <v>#N/A</v>
      </c>
      <c r="K7" s="1290"/>
      <c r="L7" s="1291" t="s">
        <v>451</v>
      </c>
      <c r="M7" s="474"/>
      <c r="N7" s="1293"/>
      <c r="P7" s="2900"/>
      <c r="Q7" s="2900">
        <v>1</v>
      </c>
      <c r="R7" s="1569"/>
      <c r="S7" s="1929" t="e">
        <f>$J7</f>
        <v>#N/A</v>
      </c>
      <c r="T7" s="224" t="s">
        <v>452</v>
      </c>
      <c r="U7" s="238"/>
      <c r="V7" s="2931"/>
      <c r="W7" s="2931"/>
      <c r="X7" s="2931"/>
      <c r="Y7" s="2931"/>
      <c r="Z7" s="2931"/>
      <c r="AA7" s="2931"/>
      <c r="AB7" s="2931"/>
      <c r="AC7" s="2931"/>
      <c r="AD7" s="2931"/>
      <c r="AE7" s="2931"/>
      <c r="AF7" s="2931"/>
      <c r="AG7" s="2931"/>
      <c r="AH7" s="2931"/>
      <c r="AI7" s="2931"/>
      <c r="AJ7" s="2931"/>
      <c r="AK7" s="2931"/>
      <c r="AL7" s="2931"/>
      <c r="AM7" s="1932" t="s">
        <v>453</v>
      </c>
      <c r="AO7" s="437"/>
      <c r="AP7" s="437" t="str">
        <f t="shared" si="0"/>
        <v>Группа потребителей</v>
      </c>
      <c r="AQ7" s="437"/>
      <c r="AR7" s="437"/>
      <c r="AS7" s="1082">
        <v>0</v>
      </c>
    </row>
    <row r="8" spans="1:45" ht="11.25" hidden="1" customHeight="1">
      <c r="A8" s="1290"/>
      <c r="B8" s="1290"/>
      <c r="C8" s="1290"/>
      <c r="D8" s="1290"/>
      <c r="E8" s="2897"/>
      <c r="F8" s="2897"/>
      <c r="G8" s="2897"/>
      <c r="H8" s="2897"/>
      <c r="I8" s="2899"/>
      <c r="J8" s="2899"/>
      <c r="K8" s="2898" t="e">
        <f>J7&amp;".1"</f>
        <v>#N/A</v>
      </c>
      <c r="L8" s="1291" t="s">
        <v>454</v>
      </c>
      <c r="M8" s="474"/>
      <c r="N8" s="1293"/>
      <c r="O8" s="1293"/>
      <c r="P8" s="2900"/>
      <c r="Q8" s="2900"/>
      <c r="R8" s="294">
        <v>1</v>
      </c>
      <c r="S8" s="1931" t="e">
        <f>$K8</f>
        <v>#N/A</v>
      </c>
      <c r="T8" s="1936"/>
      <c r="U8" s="1937"/>
      <c r="V8" s="1938"/>
      <c r="W8" s="1276"/>
      <c r="X8" s="1938"/>
      <c r="Y8" s="1939"/>
      <c r="Z8" s="2932"/>
      <c r="AA8" s="2773" t="s">
        <v>71</v>
      </c>
      <c r="AB8" s="2932"/>
      <c r="AC8" s="2773" t="s">
        <v>71</v>
      </c>
      <c r="AD8" s="1938"/>
      <c r="AE8" s="1276"/>
      <c r="AF8" s="1938"/>
      <c r="AG8" s="1939"/>
      <c r="AH8" s="2932"/>
      <c r="AI8" s="2773" t="s">
        <v>71</v>
      </c>
      <c r="AJ8" s="2932"/>
      <c r="AK8" s="2773" t="s">
        <v>71</v>
      </c>
      <c r="AL8" s="1276"/>
      <c r="AM8" s="2919" t="s">
        <v>455</v>
      </c>
      <c r="AN8" s="448" t="e">
        <f ca="1">STRCHECKDATE(V9:AL9)</f>
        <v>#NAME?</v>
      </c>
      <c r="AO8" s="437"/>
      <c r="AP8" s="437" t="str">
        <f t="shared" si="0"/>
        <v/>
      </c>
      <c r="AQ8" s="437"/>
      <c r="AR8" s="437"/>
      <c r="AS8" s="1082">
        <v>0</v>
      </c>
    </row>
    <row r="9" spans="1:45" ht="0.75" hidden="1" customHeight="1">
      <c r="A9" s="1290"/>
      <c r="B9" s="1290"/>
      <c r="C9" s="1290"/>
      <c r="D9" s="1290"/>
      <c r="E9" s="2897"/>
      <c r="F9" s="2897"/>
      <c r="G9" s="2897"/>
      <c r="H9" s="2897"/>
      <c r="I9" s="2899"/>
      <c r="J9" s="2899"/>
      <c r="K9" s="2898"/>
      <c r="L9" s="1291"/>
      <c r="M9" s="474"/>
      <c r="N9" s="1293"/>
      <c r="O9" s="1293"/>
      <c r="P9" s="2900"/>
      <c r="Q9" s="2900"/>
      <c r="R9" s="294"/>
      <c r="S9" s="1269"/>
      <c r="T9" s="238"/>
      <c r="U9" s="238"/>
      <c r="V9" s="263"/>
      <c r="W9" s="263"/>
      <c r="X9" s="263"/>
      <c r="Y9" s="266" t="str">
        <f>Z8&amp;"-"&amp;AB8</f>
        <v>-</v>
      </c>
      <c r="Z9" s="2902"/>
      <c r="AA9" s="2768"/>
      <c r="AB9" s="2902"/>
      <c r="AC9" s="2768"/>
      <c r="AD9" s="263"/>
      <c r="AE9" s="263"/>
      <c r="AF9" s="263"/>
      <c r="AG9" s="266" t="str">
        <f>AH8&amp;"-"&amp;AJ8</f>
        <v>-</v>
      </c>
      <c r="AH9" s="2902"/>
      <c r="AI9" s="2768"/>
      <c r="AJ9" s="2902"/>
      <c r="AK9" s="2768"/>
      <c r="AL9" s="263"/>
      <c r="AM9" s="2920"/>
      <c r="AO9" s="437"/>
      <c r="AP9" s="437" t="str">
        <f t="shared" si="0"/>
        <v/>
      </c>
      <c r="AQ9" s="437"/>
      <c r="AR9" s="437"/>
      <c r="AS9" s="1082">
        <v>0</v>
      </c>
    </row>
    <row r="10" spans="1:45" ht="11.25" hidden="1" customHeight="1">
      <c r="A10" s="1290"/>
      <c r="B10" s="1290"/>
      <c r="C10" s="1290"/>
      <c r="D10" s="1290"/>
      <c r="E10" s="2897"/>
      <c r="F10" s="2897"/>
      <c r="G10" s="2897"/>
      <c r="H10" s="2897"/>
      <c r="I10" s="2899"/>
      <c r="J10" s="2898"/>
      <c r="K10" s="1290"/>
      <c r="L10" s="1291"/>
      <c r="M10" s="474"/>
      <c r="N10" s="1293"/>
      <c r="P10" s="2900"/>
      <c r="Q10" s="2900"/>
      <c r="R10" s="293"/>
      <c r="S10" s="1205"/>
      <c r="T10" s="225" t="s">
        <v>456</v>
      </c>
      <c r="U10" s="304"/>
      <c r="V10" s="304"/>
      <c r="W10" s="304"/>
      <c r="X10" s="304"/>
      <c r="Y10" s="304"/>
      <c r="Z10" s="304"/>
      <c r="AA10" s="304"/>
      <c r="AB10" s="304"/>
      <c r="AC10" s="304"/>
      <c r="AD10" s="304"/>
      <c r="AE10" s="304"/>
      <c r="AF10" s="304"/>
      <c r="AG10" s="304"/>
      <c r="AH10" s="304"/>
      <c r="AI10" s="304"/>
      <c r="AJ10" s="304"/>
      <c r="AK10" s="304"/>
      <c r="AL10" s="262"/>
      <c r="AM10" s="292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897"/>
      <c r="F11" s="2897"/>
      <c r="G11" s="2897"/>
      <c r="H11" s="2897"/>
      <c r="I11" s="2898"/>
      <c r="J11" s="1290"/>
      <c r="K11" s="1290"/>
      <c r="L11" s="1291"/>
      <c r="M11" s="474"/>
      <c r="P11" s="2900"/>
      <c r="Q11" s="1258"/>
      <c r="R11" s="293"/>
      <c r="S11" s="1205"/>
      <c r="T11" s="302" t="s">
        <v>457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0.75" hidden="1" customHeight="1">
      <c r="A12" s="1290"/>
      <c r="B12" s="1290"/>
      <c r="C12" s="1290"/>
      <c r="D12" s="1290"/>
      <c r="E12" s="2897"/>
      <c r="F12" s="2897"/>
      <c r="G12" s="2897"/>
      <c r="H12" s="289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0.75" hidden="1" customHeight="1">
      <c r="A13" s="1241"/>
      <c r="B13" s="1241"/>
      <c r="C13" s="1241"/>
      <c r="D13" s="1241"/>
      <c r="E13" s="2897"/>
      <c r="F13" s="2897"/>
      <c r="G13" s="2896"/>
      <c r="H13" s="1241"/>
      <c r="I13" s="1241"/>
      <c r="J13" s="1241"/>
      <c r="K13" s="1241"/>
      <c r="L13" s="1266"/>
      <c r="M13" s="1242"/>
      <c r="N13" s="1242"/>
      <c r="P13" s="1243"/>
      <c r="Q13" s="1244"/>
      <c r="R13" s="1243"/>
      <c r="S13" s="1245"/>
      <c r="T13" s="1246" t="s">
        <v>174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0.75" hidden="1" customHeight="1">
      <c r="A14" s="1241"/>
      <c r="B14" s="1241"/>
      <c r="C14" s="1241"/>
      <c r="D14" s="1241"/>
      <c r="E14" s="2897"/>
      <c r="F14" s="2896"/>
      <c r="G14" s="1241"/>
      <c r="H14" s="1241"/>
      <c r="I14" s="1241"/>
      <c r="J14" s="1241"/>
      <c r="K14" s="1241"/>
      <c r="L14" s="1266"/>
      <c r="M14" s="1248"/>
      <c r="N14" s="1248"/>
      <c r="P14" s="1243"/>
      <c r="Q14" s="1244"/>
      <c r="R14" s="1243"/>
      <c r="S14" s="1249"/>
      <c r="T14" s="1250" t="s">
        <v>176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0.75" hidden="1" customHeight="1">
      <c r="A15" s="1241"/>
      <c r="B15" s="1241"/>
      <c r="C15" s="1241"/>
      <c r="D15" s="1241"/>
      <c r="E15" s="2896"/>
      <c r="F15" s="1241"/>
      <c r="G15" s="1241"/>
      <c r="H15" s="1241"/>
      <c r="I15" s="1241"/>
      <c r="J15" s="1241"/>
      <c r="K15" s="1241"/>
      <c r="L15" s="1266"/>
      <c r="M15" s="1248"/>
      <c r="N15" s="1248"/>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894"/>
      <c r="AI17" s="2893" t="s">
        <v>71</v>
      </c>
      <c r="AJ17" s="2894"/>
      <c r="AK17" s="2893" t="s">
        <v>71</v>
      </c>
      <c r="AS17" s="1082">
        <v>0</v>
      </c>
    </row>
    <row r="18" spans="1:45" ht="14.25" hidden="1" customHeight="1">
      <c r="AD18" s="1287"/>
      <c r="AE18" s="1287"/>
      <c r="AF18" s="1287"/>
      <c r="AG18" s="266" t="str">
        <f>AH17&amp;"-"&amp;AJ17</f>
        <v>-</v>
      </c>
      <c r="AH18" s="2893"/>
      <c r="AI18" s="2893"/>
      <c r="AJ18" s="2893"/>
      <c r="AK18" s="2893"/>
      <c r="AS18" s="1082">
        <v>0</v>
      </c>
    </row>
    <row r="19" spans="1:45" ht="14.25" hidden="1" customHeight="1">
      <c r="AK19" s="265"/>
      <c r="AS19" s="1082">
        <v>0</v>
      </c>
    </row>
    <row r="20" spans="1:45" s="1293" customFormat="1" ht="22.5" hidden="1" customHeight="1">
      <c r="L20" s="1256"/>
      <c r="M20" s="1289"/>
      <c r="N20" s="1289"/>
      <c r="O20" s="1294" t="s">
        <v>459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460</v>
      </c>
      <c r="P22" s="1289"/>
      <c r="Q22" s="1298"/>
      <c r="R22" s="1298"/>
      <c r="S22" s="666"/>
      <c r="T22" s="1087" t="s">
        <v>461</v>
      </c>
      <c r="AA22" s="124" t="s">
        <v>462</v>
      </c>
      <c r="AC22" s="124" t="s">
        <v>463</v>
      </c>
      <c r="AD22" s="1087" t="s">
        <v>461</v>
      </c>
      <c r="AI22" s="124" t="s">
        <v>464</v>
      </c>
      <c r="AK22" s="124" t="s">
        <v>463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4.75" customHeight="1">
      <c r="Q26" s="313"/>
      <c r="R26" s="313"/>
      <c r="S26" s="2828"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28"/>
      <c r="U26" s="2828"/>
      <c r="V26" s="2828"/>
      <c r="W26" s="2828"/>
      <c r="X26" s="2828"/>
      <c r="Y26" s="2828"/>
      <c r="Z26" s="2828"/>
      <c r="AA26" s="2828"/>
      <c r="AB26" s="2828"/>
      <c r="AC26" s="2828"/>
      <c r="AD26" s="2828"/>
      <c r="AE26" s="2828"/>
      <c r="AF26" s="2828"/>
      <c r="AG26" s="2828"/>
      <c r="AH26" s="2828"/>
      <c r="AI26" s="2828"/>
      <c r="AJ26" s="2828"/>
      <c r="AK26" s="1170"/>
      <c r="AS26" s="1082">
        <v>52</v>
      </c>
    </row>
    <row r="27" spans="1:45" ht="15" customHeight="1">
      <c r="Q27" s="313"/>
      <c r="R27" s="313"/>
      <c r="S27" s="2849" t="str">
        <f>IF(org=0,"Не определено",org)</f>
        <v>ТМУП "ТТС"</v>
      </c>
      <c r="T27" s="2849"/>
      <c r="U27" s="2849"/>
      <c r="V27" s="2849"/>
      <c r="W27" s="2849"/>
      <c r="X27" s="2849"/>
      <c r="Y27" s="2849"/>
      <c r="Z27" s="2849"/>
      <c r="AA27" s="2849"/>
      <c r="AB27" s="2849"/>
      <c r="AC27" s="2849"/>
      <c r="AD27" s="2849"/>
      <c r="AE27" s="2849"/>
      <c r="AF27" s="2849"/>
      <c r="AG27" s="2849"/>
      <c r="AH27" s="2849"/>
      <c r="AI27" s="2849"/>
      <c r="AJ27" s="284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887" t="s">
        <v>46</v>
      </c>
      <c r="T29" s="2887"/>
      <c r="U29" s="1299"/>
      <c r="V29" s="2889" t="str">
        <f>IF(TITLE_NAME_OR_PR_CHANGE="",IF(TITLE_NAME_OR_PR="","",TITLE_NAME_OR_PR),TITLE_NAME_OR_PR_CHANGE)</f>
        <v/>
      </c>
      <c r="W29" s="2889"/>
      <c r="X29" s="2889"/>
      <c r="Y29" s="2889"/>
      <c r="Z29" s="2889"/>
      <c r="AA29" s="2889"/>
      <c r="AB29" s="2889"/>
      <c r="AC29" s="264"/>
      <c r="AD29" s="2889" t="str">
        <f>IF(TITLE_NAME_OR_PR_CHANGE="",IF(TITLE_NAME_OR_PR="","",TITLE_NAME_OR_PR),TITLE_NAME_OR_PR_CHANGE)</f>
        <v/>
      </c>
      <c r="AE29" s="2889"/>
      <c r="AF29" s="2889"/>
      <c r="AG29" s="2889"/>
      <c r="AH29" s="2889"/>
      <c r="AI29" s="2889"/>
      <c r="AJ29" s="288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887" t="s">
        <v>465</v>
      </c>
      <c r="T30" s="2887"/>
      <c r="U30" s="1299"/>
      <c r="V30" s="2888" t="str">
        <f>IF(TITLE_DATE_PR_CHANGE="",IF(TITLE_DATE_PR="","",TITLE_DATE_PR),TITLE_DATE_PR_CHANGE)</f>
        <v>14.11.2024</v>
      </c>
      <c r="W30" s="2888"/>
      <c r="X30" s="2888"/>
      <c r="Y30" s="2888"/>
      <c r="Z30" s="2888"/>
      <c r="AA30" s="2888"/>
      <c r="AB30" s="2888"/>
      <c r="AC30" s="264"/>
      <c r="AD30" s="2888" t="str">
        <f>IF(TITLE_DATE_PR_CHANGE="",IF(TITLE_DATE_PR="","",TITLE_DATE_PR),TITLE_DATE_PR_CHANGE)</f>
        <v>14.11.2024</v>
      </c>
      <c r="AE30" s="2888"/>
      <c r="AF30" s="2888"/>
      <c r="AG30" s="2888"/>
      <c r="AH30" s="2888"/>
      <c r="AI30" s="2888"/>
      <c r="AJ30" s="288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887" t="s">
        <v>466</v>
      </c>
      <c r="T31" s="2887"/>
      <c r="U31" s="1299"/>
      <c r="V31" s="2889" t="str">
        <f>IF(TITLE_NUMBER_PR_CHANGE="",IF(TITLE_NUMBER_PR="","",TITLE_NUMBER_PR),TITLE_NUMBER_PR_CHANGE)</f>
        <v>947 от 12.11.2024</v>
      </c>
      <c r="W31" s="2889"/>
      <c r="X31" s="2889"/>
      <c r="Y31" s="2889"/>
      <c r="Z31" s="2889"/>
      <c r="AA31" s="2889"/>
      <c r="AB31" s="2889"/>
      <c r="AC31" s="264"/>
      <c r="AD31" s="2889" t="str">
        <f>IF(TITLE_NUMBER_PR_CHANGE="",IF(TITLE_NUMBER_PR="","",TITLE_NUMBER_PR),TITLE_NUMBER_PR_CHANGE)</f>
        <v>947 от 12.11.2024</v>
      </c>
      <c r="AE31" s="2889"/>
      <c r="AF31" s="2889"/>
      <c r="AG31" s="2889"/>
      <c r="AH31" s="2889"/>
      <c r="AI31" s="2889"/>
      <c r="AJ31" s="288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887" t="s">
        <v>47</v>
      </c>
      <c r="T32" s="2887"/>
      <c r="U32" s="1299"/>
      <c r="V32" s="2889" t="str">
        <f>IF(TITLE_IST_PUB_CHANGE="",IF(TITLE_IST_PUB="","",TITLE_IST_PUB),TITLE_IST_PUB_CHANGE)</f>
        <v/>
      </c>
      <c r="W32" s="2889"/>
      <c r="X32" s="2889"/>
      <c r="Y32" s="2889"/>
      <c r="Z32" s="2889"/>
      <c r="AA32" s="2889"/>
      <c r="AB32" s="2889"/>
      <c r="AC32" s="264"/>
      <c r="AD32" s="2889" t="str">
        <f>IF(TITLE_IST_PUB_CHANGE="",IF(TITLE_IST_PUB="","",TITLE_IST_PUB),TITLE_IST_PUB_CHANGE)</f>
        <v/>
      </c>
      <c r="AE32" s="2889"/>
      <c r="AF32" s="2889"/>
      <c r="AG32" s="2889"/>
      <c r="AH32" s="2889"/>
      <c r="AI32" s="2889"/>
      <c r="AJ32" s="2889"/>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887" t="s">
        <v>467</v>
      </c>
      <c r="T34" s="2887"/>
      <c r="U34" s="1299"/>
      <c r="V34" s="2888" t="str">
        <f>IF(TITLE_DATE_PR_CHANGE="",IF(TITLE_DATE_PR="","",TITLE_DATE_PR),TITLE_DATE_PR_CHANGE)</f>
        <v>14.11.2024</v>
      </c>
      <c r="W34" s="2888"/>
      <c r="X34" s="2888"/>
      <c r="Y34" s="2888"/>
      <c r="Z34" s="2888"/>
      <c r="AA34" s="2888"/>
      <c r="AB34" s="2888"/>
      <c r="AC34" s="264"/>
      <c r="AD34" s="2888" t="str">
        <f>IF(TITLE_DATE_PR_CHANGE="",IF(TITLE_DATE_PR="","",TITLE_DATE_PR),TITLE_DATE_PR_CHANGE)</f>
        <v>14.11.2024</v>
      </c>
      <c r="AE34" s="2888"/>
      <c r="AF34" s="2888"/>
      <c r="AG34" s="2888"/>
      <c r="AH34" s="2888"/>
      <c r="AI34" s="2888"/>
      <c r="AJ34" s="2888"/>
      <c r="AK34" s="264"/>
      <c r="AL34" s="264"/>
      <c r="AM34" s="218"/>
      <c r="AN34" s="305"/>
      <c r="AO34" s="305"/>
      <c r="AP34" s="305"/>
      <c r="AQ34" s="305"/>
      <c r="AR34" s="305"/>
      <c r="AS34" s="355">
        <v>0</v>
      </c>
    </row>
    <row r="35" spans="1:45" s="1778" customFormat="1" ht="18.75" customHeight="1">
      <c r="A35" s="1295"/>
      <c r="B35" s="1295"/>
      <c r="C35" s="1295"/>
      <c r="D35" s="1295"/>
      <c r="E35" s="1295"/>
      <c r="F35" s="1295"/>
      <c r="G35" s="1295"/>
      <c r="H35" s="1295"/>
      <c r="I35" s="1295"/>
      <c r="J35" s="1295"/>
      <c r="K35" s="1295"/>
      <c r="L35" s="1296"/>
      <c r="M35" s="1295"/>
      <c r="N35" s="1295"/>
      <c r="O35" s="1295"/>
      <c r="S35" s="2887" t="s">
        <v>468</v>
      </c>
      <c r="T35" s="2887"/>
      <c r="U35" s="1299"/>
      <c r="V35" s="2889" t="str">
        <f>IF(TITLE_NUMBER_PR_CHANGE="",IF(TITLE_NUMBER_PR="","",TITLE_NUMBER_PR),TITLE_NUMBER_PR_CHANGE)</f>
        <v>947 от 12.11.2024</v>
      </c>
      <c r="W35" s="2889"/>
      <c r="X35" s="2889"/>
      <c r="Y35" s="2889"/>
      <c r="Z35" s="2889"/>
      <c r="AA35" s="2889"/>
      <c r="AB35" s="2889"/>
      <c r="AC35" s="264"/>
      <c r="AD35" s="2889" t="str">
        <f>IF(TITLE_NUMBER_PR_CHANGE="",IF(TITLE_NUMBER_PR="","",TITLE_NUMBER_PR),TITLE_NUMBER_PR_CHANGE)</f>
        <v>947 от 12.11.2024</v>
      </c>
      <c r="AE35" s="2889"/>
      <c r="AF35" s="2889"/>
      <c r="AG35" s="2889"/>
      <c r="AH35" s="2889"/>
      <c r="AI35" s="2889"/>
      <c r="AJ35" s="288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469</v>
      </c>
      <c r="AD36" s="264"/>
      <c r="AE36" s="264"/>
      <c r="AF36" s="264"/>
      <c r="AG36" s="264"/>
      <c r="AH36" s="264"/>
      <c r="AI36" s="264"/>
      <c r="AJ36" s="264"/>
      <c r="AK36" s="216" t="s">
        <v>469</v>
      </c>
      <c r="AN36" s="305"/>
      <c r="AO36" s="305"/>
      <c r="AP36" s="305"/>
      <c r="AQ36" s="305"/>
      <c r="AR36" s="305"/>
      <c r="AS36" s="355">
        <v>0</v>
      </c>
    </row>
    <row r="37" spans="1:45" ht="15" customHeight="1">
      <c r="Q37" s="313"/>
      <c r="R37" s="313"/>
      <c r="S37" s="1202"/>
      <c r="T37" s="300"/>
      <c r="U37" s="1171"/>
      <c r="V37" s="2908"/>
      <c r="W37" s="2908"/>
      <c r="X37" s="2908"/>
      <c r="Y37" s="2908"/>
      <c r="Z37" s="2908"/>
      <c r="AA37" s="2908"/>
      <c r="AB37" s="2908"/>
      <c r="AC37" s="2908"/>
      <c r="AD37" s="2908"/>
      <c r="AE37" s="2908"/>
      <c r="AF37" s="2908"/>
      <c r="AG37" s="2908"/>
      <c r="AH37" s="2908"/>
      <c r="AI37" s="2908"/>
      <c r="AJ37" s="2908"/>
      <c r="AK37" s="2908"/>
      <c r="AS37" s="1082">
        <v>14</v>
      </c>
    </row>
    <row r="38" spans="1:45" ht="15" customHeight="1">
      <c r="Q38" s="313"/>
      <c r="R38" s="313"/>
      <c r="S38" s="2758" t="s">
        <v>345</v>
      </c>
      <c r="T38" s="2758"/>
      <c r="U38" s="2758"/>
      <c r="V38" s="2758"/>
      <c r="W38" s="2758"/>
      <c r="X38" s="2758"/>
      <c r="Y38" s="2758"/>
      <c r="Z38" s="2758"/>
      <c r="AA38" s="2758"/>
      <c r="AB38" s="2758"/>
      <c r="AC38" s="2758"/>
      <c r="AD38" s="2758"/>
      <c r="AE38" s="2758"/>
      <c r="AF38" s="2758"/>
      <c r="AG38" s="2758"/>
      <c r="AH38" s="2758"/>
      <c r="AI38" s="2758"/>
      <c r="AJ38" s="2758"/>
      <c r="AK38" s="2758"/>
      <c r="AL38" s="2758"/>
      <c r="AM38" s="2758" t="s">
        <v>346</v>
      </c>
      <c r="AS38" s="1082">
        <v>14</v>
      </c>
    </row>
    <row r="39" spans="1:45" ht="15" customHeight="1">
      <c r="Q39" s="313"/>
      <c r="R39" s="313"/>
      <c r="S39" s="2909" t="s">
        <v>93</v>
      </c>
      <c r="T39" s="2857" t="s">
        <v>470</v>
      </c>
      <c r="U39" s="239"/>
      <c r="V39" s="2910" t="s">
        <v>471</v>
      </c>
      <c r="W39" s="2911"/>
      <c r="X39" s="2911"/>
      <c r="Y39" s="2911"/>
      <c r="Z39" s="2911"/>
      <c r="AA39" s="2911"/>
      <c r="AB39" s="2912"/>
      <c r="AC39" s="2913" t="s">
        <v>472</v>
      </c>
      <c r="AD39" s="2910" t="s">
        <v>471</v>
      </c>
      <c r="AE39" s="2911"/>
      <c r="AF39" s="2911"/>
      <c r="AG39" s="2911"/>
      <c r="AH39" s="2911"/>
      <c r="AI39" s="2911"/>
      <c r="AJ39" s="2912"/>
      <c r="AK39" s="2913" t="s">
        <v>473</v>
      </c>
      <c r="AL39" s="2916" t="s">
        <v>474</v>
      </c>
      <c r="AM39" s="2758"/>
      <c r="AS39" s="1082">
        <v>14</v>
      </c>
    </row>
    <row r="40" spans="1:45" ht="36" customHeight="1">
      <c r="Q40" s="313"/>
      <c r="R40" s="313"/>
      <c r="S40" s="2909"/>
      <c r="T40" s="2857"/>
      <c r="U40" s="961"/>
      <c r="V40" s="2829" t="s">
        <v>475</v>
      </c>
      <c r="W40" s="2905"/>
      <c r="X40" s="2740" t="s">
        <v>477</v>
      </c>
      <c r="Y40" s="2739"/>
      <c r="Z40" s="2740" t="s">
        <v>478</v>
      </c>
      <c r="AA40" s="2745"/>
      <c r="AB40" s="2739"/>
      <c r="AC40" s="2914"/>
      <c r="AD40" s="2829" t="s">
        <v>496</v>
      </c>
      <c r="AE40" s="2905"/>
      <c r="AF40" s="2740" t="s">
        <v>477</v>
      </c>
      <c r="AG40" s="2739"/>
      <c r="AH40" s="2740" t="s">
        <v>478</v>
      </c>
      <c r="AI40" s="2745"/>
      <c r="AJ40" s="2739"/>
      <c r="AK40" s="2914"/>
      <c r="AL40" s="2917"/>
      <c r="AM40" s="2758"/>
      <c r="AS40" s="1082">
        <v>34</v>
      </c>
    </row>
    <row r="41" spans="1:45" ht="36" customHeight="1">
      <c r="A41" s="1297"/>
      <c r="B41" s="1297" t="s">
        <v>140</v>
      </c>
      <c r="C41" s="1297" t="s">
        <v>141</v>
      </c>
      <c r="D41" s="1297" t="s">
        <v>142</v>
      </c>
      <c r="E41" s="1291" t="s">
        <v>479</v>
      </c>
      <c r="F41" s="1291" t="s">
        <v>480</v>
      </c>
      <c r="G41" s="1291" t="s">
        <v>481</v>
      </c>
      <c r="H41" s="1291" t="s">
        <v>482</v>
      </c>
      <c r="I41" s="1291" t="s">
        <v>483</v>
      </c>
      <c r="J41" s="1291" t="s">
        <v>484</v>
      </c>
      <c r="K41" s="1291" t="s">
        <v>485</v>
      </c>
      <c r="L41" s="1291" t="s">
        <v>460</v>
      </c>
      <c r="Q41" s="313"/>
      <c r="R41" s="313"/>
      <c r="S41" s="2909"/>
      <c r="T41" s="2857"/>
      <c r="U41" s="240"/>
      <c r="V41" s="2882"/>
      <c r="W41" s="2906"/>
      <c r="X41" s="1149" t="s">
        <v>486</v>
      </c>
      <c r="Y41" s="1149" t="s">
        <v>487</v>
      </c>
      <c r="Z41" s="1265" t="s">
        <v>488</v>
      </c>
      <c r="AA41" s="2862" t="s">
        <v>489</v>
      </c>
      <c r="AB41" s="2876"/>
      <c r="AC41" s="2915"/>
      <c r="AD41" s="2882"/>
      <c r="AE41" s="2906"/>
      <c r="AF41" s="1149" t="s">
        <v>486</v>
      </c>
      <c r="AG41" s="1149" t="s">
        <v>487</v>
      </c>
      <c r="AH41" s="1265" t="s">
        <v>488</v>
      </c>
      <c r="AI41" s="2862" t="s">
        <v>489</v>
      </c>
      <c r="AJ41" s="2876"/>
      <c r="AK41" s="2915"/>
      <c r="AL41" s="2918"/>
      <c r="AM41" s="275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114</v>
      </c>
      <c r="T42" s="1182" t="s">
        <v>115</v>
      </c>
      <c r="U42" s="1172" t="str">
        <f ca="1">OFFSET(U42,0,-1)</f>
        <v>2</v>
      </c>
      <c r="V42" s="1262">
        <f ca="1">OFFSET(V42,0,-1)+1</f>
        <v>3</v>
      </c>
      <c r="W42" s="1262"/>
      <c r="X42" s="1262">
        <f ca="1">OFFSET(X42,0,-1)+1</f>
        <v>1</v>
      </c>
      <c r="Y42" s="1262">
        <f ca="1">OFFSET(Y42,0,-1)+1</f>
        <v>2</v>
      </c>
      <c r="Z42" s="1262">
        <f ca="1">OFFSET(Z42,0,-1)+1</f>
        <v>3</v>
      </c>
      <c r="AA42" s="2907">
        <f ca="1">OFFSET(AA42,0,-1)+1</f>
        <v>4</v>
      </c>
      <c r="AB42" s="2907"/>
      <c r="AC42" s="1262">
        <f ca="1">OFFSET(AC42,0,-2)+1</f>
        <v>5</v>
      </c>
      <c r="AD42" s="1262">
        <f ca="1">OFFSET(AD42,0,-1)+1</f>
        <v>6</v>
      </c>
      <c r="AE42" s="1262"/>
      <c r="AF42" s="1262">
        <f ca="1">OFFSET(AF42,0,-1)+1</f>
        <v>1</v>
      </c>
      <c r="AG42" s="1262">
        <f ca="1">OFFSET(AG42,0,-1)+1</f>
        <v>2</v>
      </c>
      <c r="AH42" s="1262">
        <f ca="1">OFFSET(AH42,0,-1)+1</f>
        <v>3</v>
      </c>
      <c r="AI42" s="2907">
        <f ca="1">OFFSET(AI42,0,-1)+1</f>
        <v>4</v>
      </c>
      <c r="AJ42" s="2907"/>
      <c r="AK42" s="1262">
        <f ca="1">OFFSET(AK42,0,-2)+1</f>
        <v>5</v>
      </c>
      <c r="AL42" s="1172">
        <f ca="1">OFFSET(AL42,0,-1)</f>
        <v>5</v>
      </c>
      <c r="AM42" s="1262">
        <f ca="1">OFFSET(AM42,0,-1)+1</f>
        <v>6</v>
      </c>
      <c r="AN42" s="448"/>
      <c r="AO42" s="448"/>
      <c r="AP42" s="448"/>
      <c r="AQ42" s="448"/>
      <c r="AR42" s="448"/>
      <c r="AS42" s="433">
        <v>0</v>
      </c>
    </row>
    <row r="43" spans="1:45" ht="21.75" customHeight="1">
      <c r="A43" s="1290" t="s">
        <v>227</v>
      </c>
      <c r="B43" s="1290"/>
      <c r="C43" s="1290"/>
      <c r="D43" s="1290"/>
      <c r="E43" s="289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128</v>
      </c>
      <c r="U43" s="238"/>
      <c r="V43" s="2890"/>
      <c r="W43" s="2891"/>
      <c r="X43" s="2891"/>
      <c r="Y43" s="2891"/>
      <c r="Z43" s="2891"/>
      <c r="AA43" s="2891"/>
      <c r="AB43" s="2891"/>
      <c r="AC43" s="2892"/>
      <c r="AD43" s="2890" t="str">
        <f>INDEX(PT_DIFFERENTIATION_NTAR,MATCH(A43,PT_DIFFERENTIATION_NTAR_ID,0))</f>
        <v/>
      </c>
      <c r="AE43" s="2891"/>
      <c r="AF43" s="2891"/>
      <c r="AG43" s="2891"/>
      <c r="AH43" s="2891"/>
      <c r="AI43" s="2891"/>
      <c r="AJ43" s="2891"/>
      <c r="AK43" s="2891"/>
      <c r="AL43" s="289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75" customHeight="1">
      <c r="A44" s="1290" t="s">
        <v>227</v>
      </c>
      <c r="B44" s="1290" t="s">
        <v>228</v>
      </c>
      <c r="C44" s="1290"/>
      <c r="D44" s="1290"/>
      <c r="E44" s="2897"/>
      <c r="F44" s="2896">
        <v>1</v>
      </c>
      <c r="G44" s="1290"/>
      <c r="H44" s="1290"/>
      <c r="I44" s="1290"/>
      <c r="J44" s="1290"/>
      <c r="K44" s="1290"/>
      <c r="L44" s="1291"/>
      <c r="M44" s="1292"/>
      <c r="N44" s="1292"/>
      <c r="O44" s="1292"/>
      <c r="P44" s="1259"/>
      <c r="Q44" s="289"/>
      <c r="R44" s="290"/>
      <c r="S44" s="1263" t="str">
        <f>INDEX(PT_DIFFERENTIATION_NUM_TER,MATCH(B44,PT_DIFFERENTIATION_TER_ID,0))</f>
        <v>.</v>
      </c>
      <c r="T44" s="246" t="s">
        <v>442</v>
      </c>
      <c r="U44" s="238"/>
      <c r="V44" s="2890"/>
      <c r="W44" s="2891"/>
      <c r="X44" s="2891"/>
      <c r="Y44" s="2891"/>
      <c r="Z44" s="2891"/>
      <c r="AA44" s="2891"/>
      <c r="AB44" s="2891"/>
      <c r="AC44" s="2892"/>
      <c r="AD44" s="2890" t="str">
        <f>INDEX(PT_DIFFERENTIATION_TER,MATCH(B44,PT_DIFFERENTIATION_TER_ID,0))</f>
        <v/>
      </c>
      <c r="AE44" s="2891"/>
      <c r="AF44" s="2891"/>
      <c r="AG44" s="2891"/>
      <c r="AH44" s="2891"/>
      <c r="AI44" s="2891"/>
      <c r="AJ44" s="2891"/>
      <c r="AK44" s="2891"/>
      <c r="AL44" s="2892"/>
      <c r="AM44" s="1185" t="s">
        <v>443</v>
      </c>
      <c r="AO44" s="437"/>
      <c r="AP44" s="437" t="str">
        <f t="shared" si="1"/>
        <v>Территория действия тарифа</v>
      </c>
      <c r="AQ44" s="437"/>
      <c r="AR44" s="437"/>
      <c r="AS44" s="1082">
        <v>21</v>
      </c>
    </row>
    <row r="45" spans="1:45" ht="24" customHeight="1">
      <c r="A45" s="1290" t="s">
        <v>227</v>
      </c>
      <c r="B45" s="1290" t="s">
        <v>228</v>
      </c>
      <c r="C45" s="1290" t="s">
        <v>229</v>
      </c>
      <c r="D45" s="1290"/>
      <c r="E45" s="2897"/>
      <c r="F45" s="2897"/>
      <c r="G45" s="2896">
        <v>1</v>
      </c>
      <c r="H45" s="1290"/>
      <c r="I45" s="1290"/>
      <c r="J45" s="1290"/>
      <c r="K45" s="1290"/>
      <c r="L45" s="1291"/>
      <c r="M45" s="1292"/>
      <c r="N45" s="1292"/>
      <c r="O45" s="1292"/>
      <c r="P45" s="291"/>
      <c r="Q45" s="289"/>
      <c r="R45" s="290"/>
      <c r="S45" s="1263" t="str">
        <f>INDEX(PT_DIFFERENTIATION_NUM_CS,MATCH(C45,PT_DIFFERENTIATION_CS_ID,0))</f>
        <v>..</v>
      </c>
      <c r="T45" s="247" t="s">
        <v>444</v>
      </c>
      <c r="U45" s="238"/>
      <c r="V45" s="2890"/>
      <c r="W45" s="2891"/>
      <c r="X45" s="2891"/>
      <c r="Y45" s="2891"/>
      <c r="Z45" s="2891"/>
      <c r="AA45" s="2891"/>
      <c r="AB45" s="2891"/>
      <c r="AC45" s="2892"/>
      <c r="AD45" s="2890" t="str">
        <f>INDEX(PT_DIFFERENTIATION_CS,MATCH(C45,PT_DIFFERENTIATION_CS_ID,0))</f>
        <v/>
      </c>
      <c r="AE45" s="2891"/>
      <c r="AF45" s="2891"/>
      <c r="AG45" s="2891"/>
      <c r="AH45" s="2891"/>
      <c r="AI45" s="2891"/>
      <c r="AJ45" s="2891"/>
      <c r="AK45" s="2891"/>
      <c r="AL45" s="2892"/>
      <c r="AM45" s="1185" t="s">
        <v>445</v>
      </c>
      <c r="AO45" s="437"/>
      <c r="AP45" s="437" t="str">
        <f t="shared" si="1"/>
        <v xml:space="preserve">Наименование системы теплоснабжения </v>
      </c>
      <c r="AQ45" s="437"/>
      <c r="AR45" s="437"/>
      <c r="AS45" s="1082">
        <v>23</v>
      </c>
    </row>
    <row r="46" spans="1:45" ht="21.75" customHeight="1">
      <c r="A46" s="1290" t="s">
        <v>227</v>
      </c>
      <c r="B46" s="1290" t="s">
        <v>228</v>
      </c>
      <c r="C46" s="1290" t="s">
        <v>229</v>
      </c>
      <c r="D46" s="1290" t="s">
        <v>230</v>
      </c>
      <c r="E46" s="2897"/>
      <c r="F46" s="2897"/>
      <c r="G46" s="2897"/>
      <c r="H46" s="2896">
        <v>1</v>
      </c>
      <c r="I46" s="1290"/>
      <c r="J46" s="1290"/>
      <c r="K46" s="1290"/>
      <c r="L46" s="1291"/>
      <c r="M46" s="1292"/>
      <c r="N46" s="1292"/>
      <c r="O46" s="1292"/>
      <c r="P46" s="291"/>
      <c r="Q46" s="289"/>
      <c r="R46" s="290"/>
      <c r="S46" s="1263" t="str">
        <f>INDEX(PT_DIFFERENTIATION_NUM_IST_TE,MATCH(D46,PT_DIFFERENTIATION_IST_TE_ID,0))</f>
        <v>...</v>
      </c>
      <c r="T46" s="248" t="s">
        <v>446</v>
      </c>
      <c r="U46" s="238"/>
      <c r="V46" s="2890"/>
      <c r="W46" s="2891"/>
      <c r="X46" s="2891"/>
      <c r="Y46" s="2891"/>
      <c r="Z46" s="2891"/>
      <c r="AA46" s="2891"/>
      <c r="AB46" s="2891"/>
      <c r="AC46" s="2892"/>
      <c r="AD46" s="2890" t="str">
        <f>INDEX(PT_DIFFERENTIATION_IST_TE,MATCH(D46,PT_DIFFERENTIATION_IST_TE_ID,0))</f>
        <v/>
      </c>
      <c r="AE46" s="2891"/>
      <c r="AF46" s="2891"/>
      <c r="AG46" s="2891"/>
      <c r="AH46" s="2891"/>
      <c r="AI46" s="2891"/>
      <c r="AJ46" s="2891"/>
      <c r="AK46" s="2891"/>
      <c r="AL46" s="2892"/>
      <c r="AM46" s="1185" t="s">
        <v>447</v>
      </c>
      <c r="AO46" s="437"/>
      <c r="AP46" s="437" t="str">
        <f t="shared" si="1"/>
        <v xml:space="preserve">Источник тепловой энергии  </v>
      </c>
      <c r="AQ46" s="437"/>
      <c r="AR46" s="437"/>
      <c r="AS46" s="1082">
        <v>21</v>
      </c>
    </row>
    <row r="47" spans="1:45" s="1569" customFormat="1" ht="0" hidden="1" customHeight="1">
      <c r="A47" s="1270" t="s">
        <v>227</v>
      </c>
      <c r="B47" s="1270" t="s">
        <v>228</v>
      </c>
      <c r="C47" s="1270" t="s">
        <v>229</v>
      </c>
      <c r="D47" s="1270" t="s">
        <v>230</v>
      </c>
      <c r="E47" s="2897"/>
      <c r="F47" s="2897"/>
      <c r="G47" s="2897"/>
      <c r="H47" s="2897"/>
      <c r="I47" s="2898" t="str">
        <f>S46&amp;".1"</f>
        <v>....1</v>
      </c>
      <c r="J47" s="1270"/>
      <c r="K47" s="1270"/>
      <c r="L47" s="1273" t="s">
        <v>448</v>
      </c>
      <c r="M47" s="447"/>
      <c r="N47" s="447"/>
      <c r="O47" s="447"/>
      <c r="P47" s="2900">
        <v>1</v>
      </c>
      <c r="Q47" s="1258"/>
      <c r="R47" s="293"/>
      <c r="S47" s="972"/>
      <c r="T47" s="1310"/>
      <c r="U47" s="1311"/>
      <c r="V47" s="2928"/>
      <c r="W47" s="2929"/>
      <c r="X47" s="2929"/>
      <c r="Y47" s="2929"/>
      <c r="Z47" s="2929"/>
      <c r="AA47" s="2929"/>
      <c r="AB47" s="2929"/>
      <c r="AC47" s="2930"/>
      <c r="AD47" s="2928"/>
      <c r="AE47" s="2929"/>
      <c r="AF47" s="2929"/>
      <c r="AG47" s="2929"/>
      <c r="AH47" s="2929"/>
      <c r="AI47" s="2929"/>
      <c r="AJ47" s="2929"/>
      <c r="AK47" s="2929"/>
      <c r="AL47" s="2930"/>
      <c r="AM47" s="1312"/>
      <c r="AO47" s="437"/>
      <c r="AP47" s="437" t="str">
        <f t="shared" si="1"/>
        <v/>
      </c>
      <c r="AQ47" s="437"/>
      <c r="AR47" s="437"/>
      <c r="AS47" s="448">
        <v>0</v>
      </c>
    </row>
    <row r="48" spans="1:45" ht="21.75" customHeight="1">
      <c r="A48" s="1290" t="s">
        <v>227</v>
      </c>
      <c r="B48" s="1290" t="s">
        <v>228</v>
      </c>
      <c r="C48" s="1290" t="s">
        <v>229</v>
      </c>
      <c r="D48" s="1290" t="s">
        <v>230</v>
      </c>
      <c r="E48" s="2897"/>
      <c r="F48" s="2897"/>
      <c r="G48" s="2897"/>
      <c r="H48" s="2897"/>
      <c r="I48" s="2899"/>
      <c r="J48" s="2898" t="str">
        <f>S46&amp;".1"</f>
        <v>....1</v>
      </c>
      <c r="K48" s="1290"/>
      <c r="L48" s="1291" t="s">
        <v>451</v>
      </c>
      <c r="P48" s="2900"/>
      <c r="Q48" s="2900">
        <v>1</v>
      </c>
      <c r="R48" s="294"/>
      <c r="S48" s="1263" t="str">
        <f>$J48</f>
        <v>....1</v>
      </c>
      <c r="T48" s="224" t="s">
        <v>452</v>
      </c>
      <c r="U48" s="238"/>
      <c r="V48" s="2884"/>
      <c r="W48" s="2885"/>
      <c r="X48" s="2885"/>
      <c r="Y48" s="2885"/>
      <c r="Z48" s="2885"/>
      <c r="AA48" s="2885"/>
      <c r="AB48" s="2885"/>
      <c r="AC48" s="2886"/>
      <c r="AD48" s="2884"/>
      <c r="AE48" s="2885"/>
      <c r="AF48" s="2885"/>
      <c r="AG48" s="2885"/>
      <c r="AH48" s="2885"/>
      <c r="AI48" s="2885"/>
      <c r="AJ48" s="2885"/>
      <c r="AK48" s="2885"/>
      <c r="AL48" s="2886"/>
      <c r="AM48" s="1185" t="s">
        <v>453</v>
      </c>
      <c r="AO48" s="437"/>
      <c r="AP48" s="437" t="str">
        <f t="shared" si="1"/>
        <v>Группа потребителей</v>
      </c>
      <c r="AQ48" s="437"/>
      <c r="AR48" s="437"/>
      <c r="AS48" s="1082">
        <v>21</v>
      </c>
    </row>
    <row r="49" spans="1:45" ht="21.75" customHeight="1">
      <c r="A49" s="1290" t="s">
        <v>227</v>
      </c>
      <c r="B49" s="1290" t="s">
        <v>228</v>
      </c>
      <c r="C49" s="1290" t="s">
        <v>229</v>
      </c>
      <c r="D49" s="1290" t="s">
        <v>230</v>
      </c>
      <c r="E49" s="2897"/>
      <c r="F49" s="2897"/>
      <c r="G49" s="2897"/>
      <c r="H49" s="2897"/>
      <c r="I49" s="2899"/>
      <c r="J49" s="2899"/>
      <c r="K49" s="2898" t="str">
        <f>J48&amp;".1"</f>
        <v>....1.1</v>
      </c>
      <c r="L49" s="1291" t="s">
        <v>454</v>
      </c>
      <c r="P49" s="2900"/>
      <c r="Q49" s="2900"/>
      <c r="R49" s="294">
        <v>1</v>
      </c>
      <c r="S49" s="1263" t="str">
        <f>$K49</f>
        <v>....1.1</v>
      </c>
      <c r="T49" s="1274"/>
      <c r="U49" s="238"/>
      <c r="V49" s="688"/>
      <c r="W49" s="263"/>
      <c r="X49" s="688"/>
      <c r="Y49" s="1184"/>
      <c r="Z49" s="2901"/>
      <c r="AA49" s="2768" t="s">
        <v>71</v>
      </c>
      <c r="AB49" s="2901"/>
      <c r="AC49" s="2768" t="s">
        <v>71</v>
      </c>
      <c r="AD49" s="688"/>
      <c r="AE49" s="263"/>
      <c r="AF49" s="688"/>
      <c r="AG49" s="1184"/>
      <c r="AH49" s="2901"/>
      <c r="AI49" s="2768" t="s">
        <v>71</v>
      </c>
      <c r="AJ49" s="2903"/>
      <c r="AK49" s="2768" t="s">
        <v>71</v>
      </c>
      <c r="AL49" s="1275"/>
      <c r="AM49" s="2919" t="s">
        <v>497</v>
      </c>
      <c r="AN49" s="448" t="e">
        <f ca="1">STRCHECKDATE(V50:AL50)</f>
        <v>#NAME?</v>
      </c>
      <c r="AO49" s="437"/>
      <c r="AP49" s="437" t="str">
        <f t="shared" si="1"/>
        <v/>
      </c>
      <c r="AQ49" s="437"/>
      <c r="AR49" s="437"/>
      <c r="AS49" s="1082">
        <v>21</v>
      </c>
    </row>
    <row r="50" spans="1:45" ht="0.75" customHeight="1">
      <c r="A50" s="1290" t="s">
        <v>227</v>
      </c>
      <c r="B50" s="1290" t="s">
        <v>228</v>
      </c>
      <c r="C50" s="1290" t="s">
        <v>229</v>
      </c>
      <c r="D50" s="1290" t="s">
        <v>230</v>
      </c>
      <c r="E50" s="2897"/>
      <c r="F50" s="2897"/>
      <c r="G50" s="2897"/>
      <c r="H50" s="2897"/>
      <c r="I50" s="2899"/>
      <c r="J50" s="2899"/>
      <c r="K50" s="2898"/>
      <c r="L50" s="1291"/>
      <c r="P50" s="2900"/>
      <c r="Q50" s="2900"/>
      <c r="R50" s="294"/>
      <c r="S50" s="1269"/>
      <c r="T50" s="238"/>
      <c r="U50" s="238"/>
      <c r="V50" s="263"/>
      <c r="W50" s="263"/>
      <c r="X50" s="263"/>
      <c r="Y50" s="266" t="str">
        <f>Z49&amp;"-"&amp;AB49</f>
        <v>-</v>
      </c>
      <c r="Z50" s="2902"/>
      <c r="AA50" s="2768"/>
      <c r="AB50" s="2902"/>
      <c r="AC50" s="2768"/>
      <c r="AD50" s="263"/>
      <c r="AE50" s="263"/>
      <c r="AF50" s="263"/>
      <c r="AG50" s="266" t="str">
        <f>AH49&amp;"-"&amp;AJ49</f>
        <v>-</v>
      </c>
      <c r="AH50" s="2902"/>
      <c r="AI50" s="2768"/>
      <c r="AJ50" s="2904"/>
      <c r="AK50" s="2768"/>
      <c r="AL50" s="1276"/>
      <c r="AM50" s="2920"/>
      <c r="AO50" s="437"/>
      <c r="AP50" s="437" t="str">
        <f t="shared" si="1"/>
        <v/>
      </c>
      <c r="AQ50" s="437"/>
      <c r="AR50" s="437"/>
      <c r="AS50" s="1082">
        <v>1</v>
      </c>
    </row>
    <row r="51" spans="1:45" ht="11.25" customHeight="1">
      <c r="A51" s="1290" t="s">
        <v>227</v>
      </c>
      <c r="B51" s="1290" t="s">
        <v>228</v>
      </c>
      <c r="C51" s="1290" t="s">
        <v>229</v>
      </c>
      <c r="D51" s="1290" t="s">
        <v>230</v>
      </c>
      <c r="E51" s="2897"/>
      <c r="F51" s="2897"/>
      <c r="G51" s="2897"/>
      <c r="H51" s="2897"/>
      <c r="I51" s="2899"/>
      <c r="J51" s="2898"/>
      <c r="K51" s="1290"/>
      <c r="L51" s="1291"/>
      <c r="P51" s="2900"/>
      <c r="Q51" s="2900"/>
      <c r="R51" s="293"/>
      <c r="S51" s="1205"/>
      <c r="T51" s="225" t="s">
        <v>456</v>
      </c>
      <c r="U51" s="304"/>
      <c r="V51" s="304"/>
      <c r="W51" s="304"/>
      <c r="X51" s="304"/>
      <c r="Y51" s="304"/>
      <c r="Z51" s="304"/>
      <c r="AA51" s="304"/>
      <c r="AB51" s="304"/>
      <c r="AC51" s="304"/>
      <c r="AD51" s="304"/>
      <c r="AE51" s="304"/>
      <c r="AF51" s="304"/>
      <c r="AG51" s="304"/>
      <c r="AH51" s="304"/>
      <c r="AI51" s="304"/>
      <c r="AJ51" s="304"/>
      <c r="AK51" s="304"/>
      <c r="AL51" s="262"/>
      <c r="AM51" s="2921"/>
      <c r="AO51" s="437"/>
      <c r="AP51" s="437" t="str">
        <f t="shared" si="1"/>
        <v>Добавить вид теплоносителя (параметры теплоносителя)</v>
      </c>
      <c r="AQ51" s="437"/>
      <c r="AR51" s="437"/>
      <c r="AS51" s="1082">
        <v>11</v>
      </c>
    </row>
    <row r="52" spans="1:45" ht="11.25" customHeight="1">
      <c r="A52" s="1290" t="s">
        <v>227</v>
      </c>
      <c r="B52" s="1290" t="s">
        <v>228</v>
      </c>
      <c r="C52" s="1290" t="s">
        <v>229</v>
      </c>
      <c r="D52" s="1290" t="s">
        <v>230</v>
      </c>
      <c r="E52" s="2897"/>
      <c r="F52" s="2897"/>
      <c r="G52" s="2897"/>
      <c r="H52" s="2897"/>
      <c r="I52" s="2898"/>
      <c r="J52" s="1290"/>
      <c r="K52" s="1290"/>
      <c r="L52" s="1291"/>
      <c r="P52" s="2900"/>
      <c r="Q52" s="1258"/>
      <c r="R52" s="293"/>
      <c r="S52" s="1205"/>
      <c r="T52" s="302" t="s">
        <v>457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227</v>
      </c>
      <c r="B53" s="1290" t="s">
        <v>228</v>
      </c>
      <c r="C53" s="1290" t="s">
        <v>229</v>
      </c>
      <c r="D53" s="1290" t="s">
        <v>230</v>
      </c>
      <c r="E53" s="2897"/>
      <c r="F53" s="2897"/>
      <c r="G53" s="2897"/>
      <c r="H53" s="289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75" customHeight="1">
      <c r="A54" s="1270" t="s">
        <v>227</v>
      </c>
      <c r="B54" s="1270" t="s">
        <v>228</v>
      </c>
      <c r="C54" s="1270" t="s">
        <v>229</v>
      </c>
      <c r="D54" s="1241"/>
      <c r="E54" s="2897"/>
      <c r="F54" s="2897"/>
      <c r="G54" s="2896"/>
      <c r="H54" s="1241"/>
      <c r="I54" s="1241"/>
      <c r="J54" s="1241"/>
      <c r="K54" s="1241"/>
      <c r="L54" s="1266"/>
      <c r="M54" s="1242"/>
      <c r="N54" s="1242"/>
      <c r="P54" s="1243"/>
      <c r="Q54" s="1244"/>
      <c r="R54" s="1243"/>
      <c r="S54" s="1249"/>
      <c r="T54" s="1252" t="s">
        <v>174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1</v>
      </c>
    </row>
    <row r="55" spans="1:45" s="1569" customFormat="1" ht="0.75" customHeight="1">
      <c r="A55" s="1270" t="s">
        <v>227</v>
      </c>
      <c r="B55" s="1270" t="s">
        <v>228</v>
      </c>
      <c r="C55" s="1241"/>
      <c r="D55" s="1241"/>
      <c r="E55" s="2897"/>
      <c r="F55" s="2896"/>
      <c r="G55" s="1241"/>
      <c r="H55" s="1241"/>
      <c r="I55" s="1241"/>
      <c r="J55" s="1241"/>
      <c r="K55" s="1241"/>
      <c r="L55" s="1266"/>
      <c r="M55" s="1248"/>
      <c r="N55" s="1248"/>
      <c r="P55" s="1243"/>
      <c r="Q55" s="1244"/>
      <c r="R55" s="1243"/>
      <c r="S55" s="1249"/>
      <c r="T55" s="1252" t="s">
        <v>176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1</v>
      </c>
    </row>
    <row r="56" spans="1:45" s="1569" customFormat="1" ht="0.75" customHeight="1">
      <c r="A56" s="1270" t="s">
        <v>227</v>
      </c>
      <c r="B56" s="1270"/>
      <c r="C56" s="1270"/>
      <c r="D56" s="1270"/>
      <c r="E56" s="2896"/>
      <c r="F56" s="1270"/>
      <c r="G56" s="1270"/>
      <c r="H56" s="1270"/>
      <c r="I56" s="1270"/>
      <c r="J56" s="1270"/>
      <c r="K56" s="1270"/>
      <c r="L56" s="1273"/>
      <c r="M56" s="1248"/>
      <c r="N56" s="1248"/>
      <c r="O56" s="455"/>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1</v>
      </c>
    </row>
    <row r="57" spans="1:45" s="1569" customFormat="1" ht="0.75" customHeight="1">
      <c r="A57" s="1241"/>
      <c r="B57" s="1241"/>
      <c r="C57" s="1241"/>
      <c r="D57" s="1241"/>
      <c r="E57" s="1270"/>
      <c r="F57" s="1241"/>
      <c r="G57" s="1241"/>
      <c r="H57" s="1241"/>
      <c r="I57" s="1241"/>
      <c r="J57" s="1241"/>
      <c r="K57" s="1241"/>
      <c r="L57" s="1266"/>
      <c r="M57" s="1248"/>
      <c r="N57" s="1248"/>
      <c r="P57" s="1243"/>
      <c r="Q57" s="1244"/>
      <c r="R57" s="1243"/>
      <c r="S57" s="1249"/>
      <c r="T57" s="1252" t="s">
        <v>212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1</v>
      </c>
    </row>
    <row r="58" spans="1:45" ht="11.25" customHeight="1">
      <c r="M58" s="1087"/>
      <c r="N58" s="1087"/>
      <c r="O58" s="474"/>
      <c r="P58" s="1082"/>
      <c r="Q58" s="1082"/>
      <c r="R58" s="1082"/>
      <c r="S58" s="1082"/>
      <c r="AN58" s="1082"/>
      <c r="AO58" s="1082"/>
      <c r="AP58" s="1082"/>
      <c r="AQ58" s="1082"/>
      <c r="AR58" s="1082"/>
      <c r="AS58" s="1082">
        <v>11</v>
      </c>
    </row>
    <row r="59" spans="1:45" ht="23.25" customHeight="1">
      <c r="O59" s="474"/>
      <c r="S59" s="1180"/>
      <c r="T59" s="2895"/>
      <c r="U59" s="2895"/>
      <c r="V59" s="2895"/>
      <c r="W59" s="2895"/>
      <c r="X59" s="2895"/>
      <c r="Y59" s="2895"/>
      <c r="Z59" s="2895"/>
      <c r="AA59" s="2895"/>
      <c r="AB59" s="2895"/>
      <c r="AC59" s="2895"/>
      <c r="AD59" s="2895"/>
      <c r="AE59" s="2895"/>
      <c r="AF59" s="2895"/>
      <c r="AG59" s="2895"/>
      <c r="AH59" s="2895"/>
      <c r="AI59" s="2895"/>
      <c r="AJ59" s="2895"/>
      <c r="AK59" s="2895"/>
      <c r="AL59" s="2895"/>
      <c r="AM59" s="2895"/>
      <c r="AS59" s="1082">
        <v>22</v>
      </c>
    </row>
    <row r="60" spans="1:45" ht="30.75" customHeight="1">
      <c r="O60" s="474"/>
      <c r="T60" s="2895"/>
      <c r="U60" s="2895"/>
      <c r="V60" s="2895"/>
      <c r="W60" s="2895"/>
      <c r="X60" s="2895"/>
      <c r="Y60" s="2895"/>
      <c r="Z60" s="2895"/>
      <c r="AA60" s="2895"/>
      <c r="AB60" s="2895"/>
      <c r="AC60" s="2895"/>
      <c r="AD60" s="2895"/>
      <c r="AE60" s="2895"/>
      <c r="AF60" s="2895"/>
      <c r="AG60" s="2895"/>
      <c r="AH60" s="2895"/>
      <c r="AI60" s="2895"/>
      <c r="AJ60" s="2895"/>
      <c r="AK60" s="2895"/>
      <c r="AL60" s="2895"/>
      <c r="AM60" s="2895"/>
      <c r="AS60" s="1082">
        <v>29</v>
      </c>
    </row>
    <row r="61" spans="1:45" ht="42" customHeight="1">
      <c r="O61" s="474"/>
      <c r="T61" s="2895"/>
      <c r="U61" s="2895"/>
      <c r="V61" s="2895"/>
      <c r="W61" s="2895"/>
      <c r="X61" s="2895"/>
      <c r="Y61" s="2895"/>
      <c r="Z61" s="2895"/>
      <c r="AA61" s="2895"/>
      <c r="AB61" s="2895"/>
      <c r="AC61" s="2895"/>
      <c r="AD61" s="2895"/>
      <c r="AE61" s="2895"/>
      <c r="AF61" s="2895"/>
      <c r="AG61" s="2895"/>
      <c r="AH61" s="2895"/>
      <c r="AI61" s="2895"/>
      <c r="AJ61" s="2895"/>
      <c r="AK61" s="2895"/>
      <c r="AL61" s="2895"/>
      <c r="AM61" s="2895"/>
      <c r="AS61" s="1082">
        <v>40</v>
      </c>
    </row>
    <row r="62" spans="1:45" ht="15" customHeight="1">
      <c r="O62" s="474"/>
      <c r="AS62" s="1082">
        <v>14</v>
      </c>
    </row>
    <row r="63" spans="1:45" ht="21" customHeight="1">
      <c r="O63" s="474"/>
      <c r="S63" s="1180"/>
      <c r="T63" s="2798"/>
      <c r="U63" s="2895"/>
      <c r="V63" s="2895"/>
      <c r="W63" s="2895"/>
      <c r="X63" s="2895"/>
      <c r="Y63" s="2895"/>
      <c r="Z63" s="2895"/>
      <c r="AA63" s="2895"/>
      <c r="AB63" s="2895"/>
      <c r="AC63" s="2895"/>
      <c r="AD63" s="2895"/>
      <c r="AE63" s="2895"/>
      <c r="AF63" s="2895"/>
      <c r="AG63" s="2895"/>
      <c r="AH63" s="2895"/>
      <c r="AI63" s="2895"/>
      <c r="AJ63" s="2895"/>
      <c r="AK63" s="2895"/>
      <c r="AL63" s="2895"/>
      <c r="AM63" s="2895"/>
      <c r="AS63" s="1082">
        <v>20</v>
      </c>
    </row>
    <row r="64" spans="1:45" ht="29.25" customHeight="1">
      <c r="O64" s="474"/>
      <c r="T64" s="2895"/>
      <c r="U64" s="2895"/>
      <c r="V64" s="2895"/>
      <c r="W64" s="2895"/>
      <c r="X64" s="2895"/>
      <c r="Y64" s="2895"/>
      <c r="Z64" s="2895"/>
      <c r="AA64" s="2895"/>
      <c r="AB64" s="2895"/>
      <c r="AC64" s="2895"/>
      <c r="AD64" s="2895"/>
      <c r="AE64" s="2895"/>
      <c r="AF64" s="2895"/>
      <c r="AG64" s="2895"/>
      <c r="AH64" s="2895"/>
      <c r="AI64" s="2895"/>
      <c r="AJ64" s="2895"/>
      <c r="AK64" s="2895"/>
      <c r="AL64" s="2895"/>
      <c r="AM64" s="2895"/>
      <c r="AS64" s="1082">
        <v>28</v>
      </c>
    </row>
    <row r="65" spans="1:45" ht="36" customHeight="1">
      <c r="T65" s="2895"/>
      <c r="U65" s="2895"/>
      <c r="V65" s="2895"/>
      <c r="W65" s="2895"/>
      <c r="X65" s="2895"/>
      <c r="Y65" s="2895"/>
      <c r="Z65" s="2895"/>
      <c r="AA65" s="2895"/>
      <c r="AB65" s="2895"/>
      <c r="AC65" s="2895"/>
      <c r="AD65" s="2895"/>
      <c r="AE65" s="2895"/>
      <c r="AF65" s="2895"/>
      <c r="AG65" s="2895"/>
      <c r="AH65" s="2895"/>
      <c r="AI65" s="2895"/>
      <c r="AJ65" s="2895"/>
      <c r="AK65" s="2895"/>
      <c r="AL65" s="2895"/>
      <c r="AM65" s="2895"/>
      <c r="AS65" s="1082">
        <v>34</v>
      </c>
    </row>
    <row r="66" spans="1:45" ht="22.5" hidden="1" customHeight="1">
      <c r="A66" s="1087" t="s">
        <v>87</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0:T30"/>
    <mergeCell ref="V30:AB30"/>
    <mergeCell ref="AD30:AJ30"/>
    <mergeCell ref="S31:T31"/>
    <mergeCell ref="V31:AB31"/>
    <mergeCell ref="AD31:AJ31"/>
    <mergeCell ref="S26:AJ26"/>
    <mergeCell ref="S27:AJ27"/>
    <mergeCell ref="S29:T29"/>
    <mergeCell ref="V29:AB29"/>
    <mergeCell ref="AD29:AJ29"/>
    <mergeCell ref="S32:T32"/>
    <mergeCell ref="V32:AB32"/>
    <mergeCell ref="AD32:AJ32"/>
    <mergeCell ref="V37:AC37"/>
    <mergeCell ref="AD37:AK37"/>
    <mergeCell ref="S34:T34"/>
    <mergeCell ref="V34:AB34"/>
    <mergeCell ref="AD34:AJ34"/>
    <mergeCell ref="S35:T35"/>
    <mergeCell ref="V35:AB35"/>
    <mergeCell ref="AD35:AJ35"/>
    <mergeCell ref="AH40:AJ40"/>
    <mergeCell ref="AA41:AB41"/>
    <mergeCell ref="AI41:AJ41"/>
    <mergeCell ref="AA42:AB42"/>
    <mergeCell ref="AI42:AJ42"/>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E40:AE41"/>
    <mergeCell ref="AF40:AG40"/>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V47:AC47"/>
    <mergeCell ref="AD47:AL47"/>
    <mergeCell ref="T63:AM63"/>
    <mergeCell ref="T64:AM64"/>
    <mergeCell ref="T65:AM65"/>
    <mergeCell ref="AM49:AM51"/>
    <mergeCell ref="T59:AM59"/>
    <mergeCell ref="T60:AM60"/>
    <mergeCell ref="T61:AM61"/>
    <mergeCell ref="J48:J51"/>
    <mergeCell ref="Q48:Q51"/>
    <mergeCell ref="V48:AC48"/>
    <mergeCell ref="AD48:AL48"/>
    <mergeCell ref="K49:K50"/>
    <mergeCell ref="Z49:Z50"/>
    <mergeCell ref="AA49:AA50"/>
    <mergeCell ref="AB49:AB50"/>
    <mergeCell ref="AC49:AC50"/>
    <mergeCell ref="AH49:AH50"/>
    <mergeCell ref="AI49:AI50"/>
    <mergeCell ref="AJ49:AJ50"/>
    <mergeCell ref="AK49:AK5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49 AK524337 AK8 AK589873 AK655409 AK17 AK720945 AK786481 AK852017 AK917553 AK983089 AK65585 AK131121 AK458801 AK196657 AI49 AK262193 AI8 AC8 AA8 AI17 AK327729 AA49 AC49 AK393265"/>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Y50 AG18 AG50"/>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S66"/>
  <sheetViews>
    <sheetView showGridLines="0" zoomScale="90" workbookViewId="0">
      <pane xSplit="29" ySplit="42" topLeftCell="AD43" activePane="bottomRight" state="frozen"/>
      <selection pane="topRight" activeCell="AD1" sqref="AD1"/>
      <selection pane="bottomLeft" activeCell="A43" sqref="A43"/>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2007" hidden="1" customWidth="1"/>
    <col min="17" max="18" width="3" style="282" customWidth="1"/>
    <col min="19" max="19" width="12" style="2008" customWidth="1"/>
    <col min="20" max="20" width="31" style="1562" customWidth="1"/>
    <col min="21" max="21" width="0.140625" style="1562" customWidth="1"/>
    <col min="22" max="22" width="24.7109375" style="1562" hidden="1" customWidth="1"/>
    <col min="23" max="23" width="0.140625" style="1562" hidden="1" customWidth="1"/>
    <col min="24" max="25" width="24.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24.7109375" style="1562" customWidth="1"/>
    <col min="31" max="31" width="0.140625" style="1562" customWidth="1"/>
    <col min="32" max="33" width="24" style="1562" customWidth="1"/>
    <col min="34" max="34" width="11" style="1562" customWidth="1"/>
    <col min="35" max="35" width="3.7109375" style="1562" customWidth="1"/>
    <col min="36" max="36" width="11" style="1562" customWidth="1"/>
    <col min="37" max="37" width="8.5703125" style="1562" hidden="1" customWidth="1"/>
    <col min="38" max="38" width="4" style="1562" customWidth="1"/>
    <col min="39" max="39" width="115" style="1562" customWidth="1"/>
    <col min="40" max="44" width="10" style="1569" customWidth="1"/>
    <col min="45" max="45" width="10.5703125" style="1562" hidden="1"/>
  </cols>
  <sheetData>
    <row r="1" spans="1:45" ht="22.5" hidden="1" customHeight="1">
      <c r="Y1" s="265"/>
      <c r="Z1" s="265"/>
      <c r="AG1" s="265"/>
      <c r="AH1" s="265"/>
      <c r="AS1" s="1082" t="s">
        <v>14</v>
      </c>
    </row>
    <row r="2" spans="1:45" ht="21" hidden="1" customHeight="1">
      <c r="A2" s="1290"/>
      <c r="B2" s="1290"/>
      <c r="C2" s="1290"/>
      <c r="D2" s="1290"/>
      <c r="E2" s="2896">
        <v>1</v>
      </c>
      <c r="F2" s="1290"/>
      <c r="G2" s="1290"/>
      <c r="H2" s="1290"/>
      <c r="I2" s="1290"/>
      <c r="J2" s="1290"/>
      <c r="K2" s="1290"/>
      <c r="L2" s="1291"/>
      <c r="M2" s="1292"/>
      <c r="N2" s="1292"/>
      <c r="O2" s="1292"/>
      <c r="P2" s="298"/>
      <c r="Q2" s="297"/>
      <c r="R2" s="292"/>
      <c r="S2" s="1263" t="e">
        <f>INDEX(PT_DIFFERENTIATION_NUM_NTAR,MATCH(A2,PT_DIFFERENTIATION_NTAR_ID,0))</f>
        <v>#N/A</v>
      </c>
      <c r="T2" s="236" t="s">
        <v>128</v>
      </c>
      <c r="U2" s="238"/>
      <c r="V2" s="2890"/>
      <c r="W2" s="2891"/>
      <c r="X2" s="2891"/>
      <c r="Y2" s="2891"/>
      <c r="Z2" s="2891"/>
      <c r="AA2" s="2891"/>
      <c r="AB2" s="2891"/>
      <c r="AC2" s="2892"/>
      <c r="AD2" s="2890" t="e">
        <f>INDEX(PT_DIFFERENTIATION_NTAR,MATCH(A2,PT_DIFFERENTIATION_NTAR_ID,0))</f>
        <v>#N/A</v>
      </c>
      <c r="AE2" s="2891"/>
      <c r="AF2" s="2891"/>
      <c r="AG2" s="2891"/>
      <c r="AH2" s="2891"/>
      <c r="AI2" s="2891"/>
      <c r="AJ2" s="2891"/>
      <c r="AK2" s="2891"/>
      <c r="AL2" s="2892"/>
      <c r="AM2" s="1185" t="s">
        <v>441</v>
      </c>
      <c r="AO2" s="437"/>
      <c r="AP2" s="437" t="str">
        <f t="shared" ref="AP2:AP15" si="0">IF(T2="","",T2)</f>
        <v>Наименование тарифа</v>
      </c>
      <c r="AQ2" s="437"/>
      <c r="AR2" s="437"/>
      <c r="AS2" s="1082">
        <v>0</v>
      </c>
    </row>
    <row r="3" spans="1:45" ht="21" hidden="1" customHeight="1">
      <c r="A3" s="1290"/>
      <c r="B3" s="1290"/>
      <c r="C3" s="1290"/>
      <c r="D3" s="1290"/>
      <c r="E3" s="2897"/>
      <c r="F3" s="2896">
        <v>1</v>
      </c>
      <c r="G3" s="1290"/>
      <c r="H3" s="1290"/>
      <c r="I3" s="1290"/>
      <c r="J3" s="1290"/>
      <c r="K3" s="1290"/>
      <c r="L3" s="1291"/>
      <c r="M3" s="1292"/>
      <c r="N3" s="1292"/>
      <c r="O3" s="1292"/>
      <c r="P3" s="1259"/>
      <c r="Q3" s="289"/>
      <c r="R3" s="290"/>
      <c r="S3" s="1263" t="e">
        <f>INDEX(PT_DIFFERENTIATION_NUM_TER,MATCH(B3,PT_DIFFERENTIATION_TER_ID,0))</f>
        <v>#N/A</v>
      </c>
      <c r="T3" s="246" t="s">
        <v>442</v>
      </c>
      <c r="U3" s="238"/>
      <c r="V3" s="2890"/>
      <c r="W3" s="2891"/>
      <c r="X3" s="2891"/>
      <c r="Y3" s="2891"/>
      <c r="Z3" s="2891"/>
      <c r="AA3" s="2891"/>
      <c r="AB3" s="2891"/>
      <c r="AC3" s="2892"/>
      <c r="AD3" s="2890" t="e">
        <f>INDEX(PT_DIFFERENTIATION_TER,MATCH(B3,PT_DIFFERENTIATION_TER_ID,0))</f>
        <v>#N/A</v>
      </c>
      <c r="AE3" s="2891"/>
      <c r="AF3" s="2891"/>
      <c r="AG3" s="2891"/>
      <c r="AH3" s="2891"/>
      <c r="AI3" s="2891"/>
      <c r="AJ3" s="2891"/>
      <c r="AK3" s="2891"/>
      <c r="AL3" s="2892"/>
      <c r="AM3" s="1185" t="s">
        <v>443</v>
      </c>
      <c r="AO3" s="437"/>
      <c r="AP3" s="437" t="str">
        <f t="shared" si="0"/>
        <v>Территория действия тарифа</v>
      </c>
      <c r="AQ3" s="437"/>
      <c r="AR3" s="437"/>
      <c r="AS3" s="1082">
        <v>0</v>
      </c>
    </row>
    <row r="4" spans="1:45" ht="23.25" hidden="1" customHeight="1">
      <c r="A4" s="1290"/>
      <c r="B4" s="1290"/>
      <c r="C4" s="1290"/>
      <c r="D4" s="1290"/>
      <c r="E4" s="2897"/>
      <c r="F4" s="2897"/>
      <c r="G4" s="2896">
        <v>1</v>
      </c>
      <c r="H4" s="1290"/>
      <c r="I4" s="1290"/>
      <c r="J4" s="1290"/>
      <c r="K4" s="1290"/>
      <c r="L4" s="1291"/>
      <c r="M4" s="1292"/>
      <c r="N4" s="1292"/>
      <c r="O4" s="1292"/>
      <c r="P4" s="291"/>
      <c r="Q4" s="289"/>
      <c r="R4" s="290"/>
      <c r="S4" s="1263" t="e">
        <f>INDEX(PT_DIFFERENTIATION_NUM_CS,MATCH(C4,PT_DIFFERENTIATION_CS_ID,0))</f>
        <v>#N/A</v>
      </c>
      <c r="T4" s="247" t="s">
        <v>444</v>
      </c>
      <c r="U4" s="238"/>
      <c r="V4" s="2890"/>
      <c r="W4" s="2891"/>
      <c r="X4" s="2891"/>
      <c r="Y4" s="2891"/>
      <c r="Z4" s="2891"/>
      <c r="AA4" s="2891"/>
      <c r="AB4" s="2891"/>
      <c r="AC4" s="2892"/>
      <c r="AD4" s="2890" t="e">
        <f>INDEX(PT_DIFFERENTIATION_CS,MATCH(C4,PT_DIFFERENTIATION_CS_ID,0))</f>
        <v>#N/A</v>
      </c>
      <c r="AE4" s="2891"/>
      <c r="AF4" s="2891"/>
      <c r="AG4" s="2891"/>
      <c r="AH4" s="2891"/>
      <c r="AI4" s="2891"/>
      <c r="AJ4" s="2891"/>
      <c r="AK4" s="2891"/>
      <c r="AL4" s="2892"/>
      <c r="AM4" s="1185" t="s">
        <v>445</v>
      </c>
      <c r="AO4" s="437"/>
      <c r="AP4" s="437" t="str">
        <f t="shared" si="0"/>
        <v xml:space="preserve">Наименование системы теплоснабжения </v>
      </c>
      <c r="AQ4" s="437"/>
      <c r="AR4" s="437"/>
      <c r="AS4" s="1082">
        <v>0</v>
      </c>
    </row>
    <row r="5" spans="1:45" ht="21" hidden="1" customHeight="1">
      <c r="A5" s="1290"/>
      <c r="B5" s="1290"/>
      <c r="C5" s="1290"/>
      <c r="D5" s="1290"/>
      <c r="E5" s="2897"/>
      <c r="F5" s="2897"/>
      <c r="G5" s="2897"/>
      <c r="H5" s="2896">
        <v>1</v>
      </c>
      <c r="I5" s="1290"/>
      <c r="J5" s="1290"/>
      <c r="K5" s="1290"/>
      <c r="L5" s="1291"/>
      <c r="M5" s="1292"/>
      <c r="N5" s="1292"/>
      <c r="O5" s="1292"/>
      <c r="P5" s="291"/>
      <c r="Q5" s="289"/>
      <c r="R5" s="290"/>
      <c r="S5" s="1263" t="e">
        <f>INDEX(PT_DIFFERENTIATION_NUM_IST_TE,MATCH(D5,PT_DIFFERENTIATION_IST_TE_ID,0))</f>
        <v>#N/A</v>
      </c>
      <c r="T5" s="248" t="s">
        <v>446</v>
      </c>
      <c r="U5" s="238"/>
      <c r="V5" s="2890"/>
      <c r="W5" s="2891"/>
      <c r="X5" s="2891"/>
      <c r="Y5" s="2891"/>
      <c r="Z5" s="2891"/>
      <c r="AA5" s="2891"/>
      <c r="AB5" s="2891"/>
      <c r="AC5" s="2892"/>
      <c r="AD5" s="2890" t="e">
        <f>INDEX(PT_DIFFERENTIATION_IST_TE,MATCH(D5,PT_DIFFERENTIATION_IST_TE_ID,0))</f>
        <v>#N/A</v>
      </c>
      <c r="AE5" s="2891"/>
      <c r="AF5" s="2891"/>
      <c r="AG5" s="2891"/>
      <c r="AH5" s="2891"/>
      <c r="AI5" s="2891"/>
      <c r="AJ5" s="2891"/>
      <c r="AK5" s="2891"/>
      <c r="AL5" s="2892"/>
      <c r="AM5" s="1185" t="s">
        <v>447</v>
      </c>
      <c r="AO5" s="437"/>
      <c r="AP5" s="437" t="str">
        <f t="shared" si="0"/>
        <v xml:space="preserve">Источник тепловой энергии  </v>
      </c>
      <c r="AQ5" s="437"/>
      <c r="AR5" s="437"/>
      <c r="AS5" s="1082">
        <v>0</v>
      </c>
    </row>
    <row r="6" spans="1:45" ht="14.25" hidden="1" customHeight="1">
      <c r="A6" s="1290"/>
      <c r="B6" s="1290"/>
      <c r="C6" s="1290"/>
      <c r="D6" s="1290"/>
      <c r="E6" s="2897"/>
      <c r="F6" s="2897"/>
      <c r="G6" s="2897"/>
      <c r="H6" s="2897"/>
      <c r="I6" s="2898" t="e">
        <f>S5&amp;".1"</f>
        <v>#N/A</v>
      </c>
      <c r="J6" s="1290"/>
      <c r="K6" s="1290"/>
      <c r="L6" s="1291" t="s">
        <v>448</v>
      </c>
      <c r="M6" s="474"/>
      <c r="P6" s="2900">
        <v>1</v>
      </c>
      <c r="Q6" s="1258"/>
      <c r="R6" s="293"/>
      <c r="S6" s="972"/>
      <c r="T6" s="1310"/>
      <c r="U6" s="1311"/>
      <c r="V6" s="2928"/>
      <c r="W6" s="2929"/>
      <c r="X6" s="2929"/>
      <c r="Y6" s="2929"/>
      <c r="Z6" s="2929"/>
      <c r="AA6" s="2929"/>
      <c r="AB6" s="2929"/>
      <c r="AC6" s="2930"/>
      <c r="AD6" s="2928"/>
      <c r="AE6" s="2929"/>
      <c r="AF6" s="2929"/>
      <c r="AG6" s="2929"/>
      <c r="AH6" s="2929"/>
      <c r="AI6" s="2929"/>
      <c r="AJ6" s="2929"/>
      <c r="AK6" s="2929"/>
      <c r="AL6" s="2930"/>
      <c r="AM6" s="1312"/>
      <c r="AO6" s="437"/>
      <c r="AP6" s="437" t="str">
        <f t="shared" si="0"/>
        <v/>
      </c>
      <c r="AQ6" s="437"/>
      <c r="AR6" s="437"/>
      <c r="AS6" s="1082">
        <v>0</v>
      </c>
    </row>
    <row r="7" spans="1:45" ht="21" hidden="1" customHeight="1">
      <c r="A7" s="1290"/>
      <c r="B7" s="1290"/>
      <c r="C7" s="1290"/>
      <c r="D7" s="1290"/>
      <c r="E7" s="2897"/>
      <c r="F7" s="2897"/>
      <c r="G7" s="2897"/>
      <c r="H7" s="2897"/>
      <c r="I7" s="2899"/>
      <c r="J7" s="2898" t="e">
        <f>I6&amp;".1"</f>
        <v>#N/A</v>
      </c>
      <c r="K7" s="1290"/>
      <c r="L7" s="1291" t="s">
        <v>451</v>
      </c>
      <c r="M7" s="474"/>
      <c r="N7" s="1293"/>
      <c r="P7" s="2900"/>
      <c r="Q7" s="2900">
        <v>1</v>
      </c>
      <c r="R7" s="294"/>
      <c r="S7" s="1263" t="e">
        <f>$J7</f>
        <v>#N/A</v>
      </c>
      <c r="T7" s="224" t="s">
        <v>452</v>
      </c>
      <c r="U7" s="238"/>
      <c r="V7" s="2884"/>
      <c r="W7" s="2885"/>
      <c r="X7" s="2885"/>
      <c r="Y7" s="2885"/>
      <c r="Z7" s="2885"/>
      <c r="AA7" s="2885"/>
      <c r="AB7" s="2885"/>
      <c r="AC7" s="2886"/>
      <c r="AD7" s="2884"/>
      <c r="AE7" s="2885"/>
      <c r="AF7" s="2885"/>
      <c r="AG7" s="2885"/>
      <c r="AH7" s="2885"/>
      <c r="AI7" s="2885"/>
      <c r="AJ7" s="2885"/>
      <c r="AK7" s="2885"/>
      <c r="AL7" s="2886"/>
      <c r="AM7" s="1185" t="s">
        <v>453</v>
      </c>
      <c r="AO7" s="437"/>
      <c r="AP7" s="437" t="str">
        <f t="shared" si="0"/>
        <v>Группа потребителей</v>
      </c>
      <c r="AQ7" s="437"/>
      <c r="AR7" s="437"/>
      <c r="AS7" s="1082">
        <v>0</v>
      </c>
    </row>
    <row r="8" spans="1:45" ht="21" hidden="1" customHeight="1">
      <c r="A8" s="1290"/>
      <c r="B8" s="1290"/>
      <c r="C8" s="1290"/>
      <c r="D8" s="1290"/>
      <c r="E8" s="2897"/>
      <c r="F8" s="2897"/>
      <c r="G8" s="2897"/>
      <c r="H8" s="2897"/>
      <c r="I8" s="2899"/>
      <c r="J8" s="2899"/>
      <c r="K8" s="2898" t="e">
        <f>J7&amp;".1"</f>
        <v>#N/A</v>
      </c>
      <c r="L8" s="1291" t="s">
        <v>454</v>
      </c>
      <c r="M8" s="474"/>
      <c r="N8" s="1293"/>
      <c r="O8" s="1293"/>
      <c r="P8" s="2900"/>
      <c r="Q8" s="2900"/>
      <c r="R8" s="294">
        <v>1</v>
      </c>
      <c r="S8" s="1263" t="e">
        <f>$K8</f>
        <v>#N/A</v>
      </c>
      <c r="T8" s="1274"/>
      <c r="U8" s="238"/>
      <c r="V8" s="688"/>
      <c r="W8" s="263"/>
      <c r="X8" s="688"/>
      <c r="Y8" s="1184"/>
      <c r="Z8" s="2901"/>
      <c r="AA8" s="2768" t="s">
        <v>71</v>
      </c>
      <c r="AB8" s="2901"/>
      <c r="AC8" s="2768" t="s">
        <v>71</v>
      </c>
      <c r="AD8" s="688"/>
      <c r="AE8" s="263"/>
      <c r="AF8" s="688"/>
      <c r="AG8" s="1184"/>
      <c r="AH8" s="2901"/>
      <c r="AI8" s="2768" t="s">
        <v>71</v>
      </c>
      <c r="AJ8" s="2901"/>
      <c r="AK8" s="2768" t="s">
        <v>71</v>
      </c>
      <c r="AL8" s="263"/>
      <c r="AM8" s="2919" t="s">
        <v>455</v>
      </c>
      <c r="AN8" s="448" t="e">
        <f ca="1">STRCHECKDATE(V9:AL9)</f>
        <v>#NAME?</v>
      </c>
      <c r="AO8" s="437"/>
      <c r="AP8" s="437" t="str">
        <f t="shared" si="0"/>
        <v/>
      </c>
      <c r="AQ8" s="437"/>
      <c r="AR8" s="437"/>
      <c r="AS8" s="1082">
        <v>0</v>
      </c>
    </row>
    <row r="9" spans="1:45" ht="14.25" hidden="1" customHeight="1">
      <c r="A9" s="1290"/>
      <c r="B9" s="1290"/>
      <c r="C9" s="1290"/>
      <c r="D9" s="1290"/>
      <c r="E9" s="2897"/>
      <c r="F9" s="2897"/>
      <c r="G9" s="2897"/>
      <c r="H9" s="2897"/>
      <c r="I9" s="2899"/>
      <c r="J9" s="2899"/>
      <c r="K9" s="2898"/>
      <c r="L9" s="1291"/>
      <c r="M9" s="474"/>
      <c r="N9" s="1293"/>
      <c r="O9" s="1293"/>
      <c r="P9" s="2900"/>
      <c r="Q9" s="2900"/>
      <c r="R9" s="294"/>
      <c r="S9" s="1269"/>
      <c r="T9" s="238"/>
      <c r="U9" s="238"/>
      <c r="V9" s="263"/>
      <c r="W9" s="263"/>
      <c r="X9" s="263"/>
      <c r="Y9" s="266" t="str">
        <f>Z8&amp;"-"&amp;AB8</f>
        <v>-</v>
      </c>
      <c r="Z9" s="2902"/>
      <c r="AA9" s="2768"/>
      <c r="AB9" s="2902"/>
      <c r="AC9" s="2768"/>
      <c r="AD9" s="263"/>
      <c r="AE9" s="263"/>
      <c r="AF9" s="263"/>
      <c r="AG9" s="266" t="str">
        <f>AH8&amp;"-"&amp;AJ8</f>
        <v>-</v>
      </c>
      <c r="AH9" s="2902"/>
      <c r="AI9" s="2768"/>
      <c r="AJ9" s="2902"/>
      <c r="AK9" s="2768"/>
      <c r="AL9" s="263"/>
      <c r="AM9" s="2920"/>
      <c r="AO9" s="437"/>
      <c r="AP9" s="437" t="str">
        <f t="shared" si="0"/>
        <v/>
      </c>
      <c r="AQ9" s="437"/>
      <c r="AR9" s="437"/>
      <c r="AS9" s="1082">
        <v>0</v>
      </c>
    </row>
    <row r="10" spans="1:45" ht="15" hidden="1" customHeight="1">
      <c r="A10" s="1290"/>
      <c r="B10" s="1290"/>
      <c r="C10" s="1290"/>
      <c r="D10" s="1290"/>
      <c r="E10" s="2897"/>
      <c r="F10" s="2897"/>
      <c r="G10" s="2897"/>
      <c r="H10" s="2897"/>
      <c r="I10" s="2899"/>
      <c r="J10" s="2898"/>
      <c r="K10" s="1290"/>
      <c r="L10" s="1291"/>
      <c r="M10" s="474"/>
      <c r="N10" s="1293"/>
      <c r="P10" s="2900"/>
      <c r="Q10" s="2900"/>
      <c r="R10" s="293"/>
      <c r="S10" s="1205"/>
      <c r="T10" s="225" t="s">
        <v>456</v>
      </c>
      <c r="U10" s="304"/>
      <c r="V10" s="304"/>
      <c r="W10" s="304"/>
      <c r="X10" s="304"/>
      <c r="Y10" s="304"/>
      <c r="Z10" s="304"/>
      <c r="AA10" s="304"/>
      <c r="AB10" s="304"/>
      <c r="AC10" s="304"/>
      <c r="AD10" s="304"/>
      <c r="AE10" s="304"/>
      <c r="AF10" s="304"/>
      <c r="AG10" s="304"/>
      <c r="AH10" s="304"/>
      <c r="AI10" s="304"/>
      <c r="AJ10" s="304"/>
      <c r="AK10" s="304"/>
      <c r="AL10" s="262"/>
      <c r="AM10" s="2921"/>
      <c r="AO10" s="437"/>
      <c r="AP10" s="437" t="str">
        <f t="shared" si="0"/>
        <v>Добавить вид теплоносителя (параметры теплоносителя)</v>
      </c>
      <c r="AQ10" s="437"/>
      <c r="AR10" s="437"/>
      <c r="AS10" s="1082">
        <v>0</v>
      </c>
    </row>
    <row r="11" spans="1:45" ht="11.25" hidden="1" customHeight="1">
      <c r="A11" s="1290"/>
      <c r="B11" s="1290"/>
      <c r="C11" s="1290"/>
      <c r="D11" s="1290"/>
      <c r="E11" s="2897"/>
      <c r="F11" s="2897"/>
      <c r="G11" s="2897"/>
      <c r="H11" s="2897"/>
      <c r="I11" s="2898"/>
      <c r="J11" s="1290"/>
      <c r="K11" s="1290"/>
      <c r="L11" s="1291"/>
      <c r="M11" s="474"/>
      <c r="P11" s="2900"/>
      <c r="Q11" s="1258"/>
      <c r="R11" s="293"/>
      <c r="S11" s="1205"/>
      <c r="T11" s="302" t="s">
        <v>457</v>
      </c>
      <c r="U11" s="304"/>
      <c r="V11" s="304"/>
      <c r="W11" s="304"/>
      <c r="X11" s="304"/>
      <c r="Y11" s="304"/>
      <c r="Z11" s="304"/>
      <c r="AA11" s="304"/>
      <c r="AB11" s="304"/>
      <c r="AC11" s="303"/>
      <c r="AD11" s="304"/>
      <c r="AE11" s="304"/>
      <c r="AF11" s="304"/>
      <c r="AG11" s="304"/>
      <c r="AH11" s="304"/>
      <c r="AI11" s="304"/>
      <c r="AJ11" s="304"/>
      <c r="AK11" s="303"/>
      <c r="AL11" s="304"/>
      <c r="AM11" s="241"/>
      <c r="AO11" s="437"/>
      <c r="AP11" s="437" t="str">
        <f t="shared" si="0"/>
        <v>Добавить группу потребителей</v>
      </c>
      <c r="AQ11" s="437"/>
      <c r="AR11" s="437"/>
      <c r="AS11" s="1082">
        <v>0</v>
      </c>
    </row>
    <row r="12" spans="1:45" ht="14.25" hidden="1" customHeight="1">
      <c r="A12" s="1290"/>
      <c r="B12" s="1290"/>
      <c r="C12" s="1290"/>
      <c r="D12" s="1290"/>
      <c r="E12" s="2897"/>
      <c r="F12" s="2897"/>
      <c r="G12" s="2897"/>
      <c r="H12" s="2896"/>
      <c r="I12" s="1290"/>
      <c r="J12" s="1290"/>
      <c r="K12" s="1290"/>
      <c r="L12" s="1291"/>
      <c r="M12" s="1292"/>
      <c r="N12" s="1292"/>
      <c r="O12" s="474"/>
      <c r="P12" s="297"/>
      <c r="Q12" s="312"/>
      <c r="R12" s="292"/>
      <c r="S12" s="1313"/>
      <c r="T12" s="1314"/>
      <c r="U12" s="1315"/>
      <c r="V12" s="1315"/>
      <c r="W12" s="1315"/>
      <c r="X12" s="1315"/>
      <c r="Y12" s="1315"/>
      <c r="Z12" s="1315"/>
      <c r="AA12" s="1315"/>
      <c r="AB12" s="1315"/>
      <c r="AC12" s="1315"/>
      <c r="AD12" s="1315"/>
      <c r="AE12" s="1315"/>
      <c r="AF12" s="1315"/>
      <c r="AG12" s="1315"/>
      <c r="AH12" s="1315"/>
      <c r="AI12" s="1315"/>
      <c r="AJ12" s="1315"/>
      <c r="AK12" s="1315"/>
      <c r="AL12" s="1315"/>
      <c r="AM12" s="1316"/>
      <c r="AO12" s="437"/>
      <c r="AP12" s="437" t="str">
        <f t="shared" si="0"/>
        <v/>
      </c>
      <c r="AQ12" s="437"/>
      <c r="AR12" s="437"/>
      <c r="AS12" s="1082">
        <v>0</v>
      </c>
    </row>
    <row r="13" spans="1:45" s="1569" customFormat="1" ht="14.25" hidden="1" customHeight="1">
      <c r="A13" s="1241"/>
      <c r="B13" s="1241"/>
      <c r="C13" s="1241"/>
      <c r="D13" s="1241"/>
      <c r="E13" s="2897"/>
      <c r="F13" s="2897"/>
      <c r="G13" s="2896"/>
      <c r="H13" s="1241"/>
      <c r="I13" s="1241"/>
      <c r="J13" s="1241"/>
      <c r="K13" s="1241"/>
      <c r="L13" s="1266"/>
      <c r="M13" s="1242"/>
      <c r="N13" s="1242"/>
      <c r="P13" s="1243"/>
      <c r="Q13" s="1244"/>
      <c r="R13" s="1243"/>
      <c r="S13" s="1245"/>
      <c r="T13" s="1246" t="s">
        <v>174</v>
      </c>
      <c r="U13" s="1247"/>
      <c r="V13" s="1247"/>
      <c r="W13" s="1247"/>
      <c r="X13" s="1247"/>
      <c r="Y13" s="1247"/>
      <c r="Z13" s="1247"/>
      <c r="AA13" s="1247"/>
      <c r="AB13" s="1247"/>
      <c r="AC13" s="1247"/>
      <c r="AD13" s="1247"/>
      <c r="AE13" s="1247"/>
      <c r="AF13" s="1247"/>
      <c r="AG13" s="1247"/>
      <c r="AH13" s="1247"/>
      <c r="AI13" s="1247"/>
      <c r="AJ13" s="1247"/>
      <c r="AK13" s="1247"/>
      <c r="AL13" s="1247"/>
      <c r="AM13" s="1247"/>
      <c r="AO13" s="720"/>
      <c r="AP13" s="720" t="str">
        <f t="shared" si="0"/>
        <v>Добавить источник для дифференциации</v>
      </c>
      <c r="AQ13" s="720"/>
      <c r="AR13" s="720"/>
      <c r="AS13" s="455">
        <v>0</v>
      </c>
    </row>
    <row r="14" spans="1:45" s="1569" customFormat="1" ht="14.25" hidden="1" customHeight="1">
      <c r="A14" s="1241"/>
      <c r="B14" s="1241"/>
      <c r="C14" s="1241"/>
      <c r="D14" s="1241"/>
      <c r="E14" s="2897"/>
      <c r="F14" s="2896"/>
      <c r="G14" s="1241"/>
      <c r="H14" s="1241"/>
      <c r="I14" s="1241"/>
      <c r="J14" s="1241"/>
      <c r="K14" s="1241"/>
      <c r="L14" s="1266"/>
      <c r="M14" s="1248"/>
      <c r="N14" s="1248"/>
      <c r="P14" s="1243"/>
      <c r="Q14" s="1244"/>
      <c r="R14" s="1243"/>
      <c r="S14" s="1249"/>
      <c r="T14" s="1250" t="s">
        <v>176</v>
      </c>
      <c r="U14" s="1251"/>
      <c r="V14" s="1251"/>
      <c r="W14" s="1251"/>
      <c r="X14" s="1251"/>
      <c r="Y14" s="1251"/>
      <c r="Z14" s="1251"/>
      <c r="AA14" s="1251"/>
      <c r="AB14" s="1251"/>
      <c r="AC14" s="1251"/>
      <c r="AD14" s="1251"/>
      <c r="AE14" s="1251"/>
      <c r="AF14" s="1251"/>
      <c r="AG14" s="1251"/>
      <c r="AH14" s="1251"/>
      <c r="AI14" s="1251"/>
      <c r="AJ14" s="1251"/>
      <c r="AK14" s="1251"/>
      <c r="AL14" s="1251"/>
      <c r="AM14" s="1251"/>
      <c r="AO14" s="720"/>
      <c r="AP14" s="720" t="str">
        <f t="shared" si="0"/>
        <v>Добавить централизованную систему для дифференциации</v>
      </c>
      <c r="AQ14" s="720"/>
      <c r="AR14" s="720"/>
      <c r="AS14" s="455">
        <v>0</v>
      </c>
    </row>
    <row r="15" spans="1:45" s="1569" customFormat="1" ht="14.25" hidden="1" customHeight="1">
      <c r="A15" s="1241"/>
      <c r="B15" s="1241"/>
      <c r="C15" s="1241"/>
      <c r="D15" s="1241"/>
      <c r="E15" s="2896"/>
      <c r="F15" s="1241"/>
      <c r="G15" s="1241"/>
      <c r="H15" s="1241"/>
      <c r="I15" s="1241"/>
      <c r="J15" s="1241"/>
      <c r="K15" s="1241"/>
      <c r="L15" s="1266"/>
      <c r="M15" s="1248"/>
      <c r="N15" s="1248"/>
      <c r="P15" s="1243"/>
      <c r="Q15" s="1244"/>
      <c r="R15" s="1243"/>
      <c r="S15" s="1249"/>
      <c r="T15" s="1252" t="s">
        <v>178</v>
      </c>
      <c r="U15" s="1251"/>
      <c r="V15" s="1251"/>
      <c r="W15" s="1251"/>
      <c r="X15" s="1251"/>
      <c r="Y15" s="1251"/>
      <c r="Z15" s="1251"/>
      <c r="AA15" s="1251"/>
      <c r="AB15" s="1251"/>
      <c r="AC15" s="1251"/>
      <c r="AD15" s="1251"/>
      <c r="AE15" s="1251"/>
      <c r="AF15" s="1251"/>
      <c r="AG15" s="1251"/>
      <c r="AH15" s="1251"/>
      <c r="AI15" s="1251"/>
      <c r="AJ15" s="1251"/>
      <c r="AK15" s="1251"/>
      <c r="AL15" s="1251"/>
      <c r="AM15" s="1251"/>
      <c r="AO15" s="720"/>
      <c r="AP15" s="720" t="str">
        <f t="shared" si="0"/>
        <v>Добавить территорию для дифференциации</v>
      </c>
      <c r="AQ15" s="720"/>
      <c r="AR15" s="720"/>
      <c r="AS15" s="455">
        <v>0</v>
      </c>
    </row>
    <row r="16" spans="1:45" ht="14.25" hidden="1" customHeight="1">
      <c r="AC16" s="265"/>
      <c r="AK16" s="265"/>
      <c r="AS16" s="1082">
        <v>0</v>
      </c>
    </row>
    <row r="17" spans="1:45" ht="14.25" hidden="1" customHeight="1">
      <c r="AD17" s="1287"/>
      <c r="AE17" s="1287"/>
      <c r="AF17" s="1287"/>
      <c r="AG17" s="1288"/>
      <c r="AH17" s="2894"/>
      <c r="AI17" s="2893" t="s">
        <v>71</v>
      </c>
      <c r="AJ17" s="2894"/>
      <c r="AK17" s="2893" t="s">
        <v>71</v>
      </c>
      <c r="AS17" s="1082">
        <v>0</v>
      </c>
    </row>
    <row r="18" spans="1:45" ht="14.25" hidden="1" customHeight="1">
      <c r="AD18" s="1287"/>
      <c r="AE18" s="1287"/>
      <c r="AF18" s="1287"/>
      <c r="AG18" s="266" t="str">
        <f>AH17&amp;"-"&amp;AJ17</f>
        <v>-</v>
      </c>
      <c r="AH18" s="2893"/>
      <c r="AI18" s="2893"/>
      <c r="AJ18" s="2893"/>
      <c r="AK18" s="2893"/>
      <c r="AS18" s="1082">
        <v>0</v>
      </c>
    </row>
    <row r="19" spans="1:45" ht="14.25" hidden="1" customHeight="1">
      <c r="AK19" s="265"/>
      <c r="AS19" s="1082">
        <v>0</v>
      </c>
    </row>
    <row r="20" spans="1:45" s="1293" customFormat="1" ht="22.5" hidden="1" customHeight="1">
      <c r="L20" s="1256"/>
      <c r="M20" s="1289"/>
      <c r="N20" s="1289"/>
      <c r="O20" s="1294" t="s">
        <v>459</v>
      </c>
      <c r="P20" s="1289"/>
      <c r="Q20" s="1298"/>
      <c r="R20" s="1298"/>
      <c r="S20" s="666"/>
      <c r="Z20" s="1294"/>
      <c r="AB20" s="1294"/>
      <c r="AH20" s="1294"/>
      <c r="AJ20" s="1294"/>
      <c r="AN20" s="448"/>
      <c r="AO20" s="448"/>
      <c r="AP20" s="448"/>
      <c r="AQ20" s="448"/>
      <c r="AR20" s="448"/>
      <c r="AS20" s="1087">
        <v>0</v>
      </c>
    </row>
    <row r="21" spans="1:45" s="1293" customFormat="1" ht="14.25" hidden="1" customHeight="1">
      <c r="L21" s="1256"/>
      <c r="M21" s="1289"/>
      <c r="N21" s="1289"/>
      <c r="O21" s="1289"/>
      <c r="P21" s="1289"/>
      <c r="Q21" s="1298"/>
      <c r="R21" s="1298"/>
      <c r="S21" s="666"/>
      <c r="AN21" s="448"/>
      <c r="AO21" s="448"/>
      <c r="AP21" s="448"/>
      <c r="AQ21" s="448"/>
      <c r="AR21" s="448"/>
      <c r="AS21" s="1087">
        <v>0</v>
      </c>
    </row>
    <row r="22" spans="1:45" s="1293" customFormat="1" ht="14.25" hidden="1" customHeight="1">
      <c r="L22" s="1256"/>
      <c r="M22" s="1289"/>
      <c r="N22" s="1289"/>
      <c r="O22" s="1291" t="s">
        <v>460</v>
      </c>
      <c r="P22" s="1289"/>
      <c r="Q22" s="1298"/>
      <c r="R22" s="1298"/>
      <c r="S22" s="666"/>
      <c r="T22" s="1087" t="s">
        <v>461</v>
      </c>
      <c r="AA22" s="124" t="s">
        <v>462</v>
      </c>
      <c r="AC22" s="124" t="s">
        <v>463</v>
      </c>
      <c r="AD22" s="1087" t="s">
        <v>461</v>
      </c>
      <c r="AI22" s="124" t="s">
        <v>464</v>
      </c>
      <c r="AK22" s="124" t="s">
        <v>463</v>
      </c>
      <c r="AN22" s="448"/>
      <c r="AO22" s="448"/>
      <c r="AP22" s="448"/>
      <c r="AQ22" s="448"/>
      <c r="AR22" s="448"/>
      <c r="AS22" s="1087">
        <v>0</v>
      </c>
    </row>
    <row r="23" spans="1:45" ht="14.25" hidden="1" customHeight="1">
      <c r="O23" s="1291"/>
      <c r="AS23" s="1082">
        <v>0</v>
      </c>
    </row>
    <row r="24" spans="1:45" ht="14.25" hidden="1" customHeight="1">
      <c r="O24" s="1291"/>
      <c r="AS24" s="1082">
        <v>0</v>
      </c>
    </row>
    <row r="25" spans="1:45" ht="15" customHeight="1">
      <c r="Q25" s="313"/>
      <c r="R25" s="313"/>
      <c r="S25" s="1202"/>
      <c r="T25" s="300"/>
      <c r="U25" s="300"/>
      <c r="V25" s="446"/>
      <c r="W25" s="446"/>
      <c r="X25" s="446"/>
      <c r="Y25" s="446"/>
      <c r="Z25" s="446"/>
      <c r="AA25" s="446"/>
      <c r="AB25" s="446"/>
      <c r="AC25" s="446"/>
      <c r="AD25" s="446"/>
      <c r="AE25" s="446"/>
      <c r="AF25" s="446"/>
      <c r="AG25" s="446"/>
      <c r="AH25" s="446"/>
      <c r="AI25" s="446"/>
      <c r="AJ25" s="446"/>
      <c r="AK25" s="446"/>
      <c r="AS25" s="1082">
        <v>14</v>
      </c>
    </row>
    <row r="26" spans="1:45" ht="53.25" customHeight="1">
      <c r="Q26" s="313"/>
      <c r="R26" s="313"/>
      <c r="S26" s="2877" t="str">
        <f>IF(TEMPLATE_GROUP="P",PT_P_FORM_HEAT_5_NAME_FORM,PT_R_FORM_HEAT_22_NAME_FORM)</f>
        <v>Форма 20. Информация о предложении регулируемой организации о расчетной величине тарифов на теплоноситель, поставляемый теплоснабжающими организациями потребителям, другим теплоснабжающим организациям, тарифов на услуги по передаче тепловой энергии, теплоносителя, о расчетной величине тарифов на теплоноситель в виде воды, поставляемый другим теплоснабжающим организациям в ценовых зонах теплоснабжения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v>
      </c>
      <c r="T26" s="2877"/>
      <c r="U26" s="2877"/>
      <c r="V26" s="2877"/>
      <c r="W26" s="2877"/>
      <c r="X26" s="2877"/>
      <c r="Y26" s="2877"/>
      <c r="Z26" s="2877"/>
      <c r="AA26" s="2877"/>
      <c r="AB26" s="2877"/>
      <c r="AC26" s="2877"/>
      <c r="AD26" s="2877"/>
      <c r="AE26" s="2877"/>
      <c r="AF26" s="2877"/>
      <c r="AG26" s="2877"/>
      <c r="AH26" s="2877"/>
      <c r="AI26" s="2877"/>
      <c r="AJ26" s="2877"/>
      <c r="AK26" s="1170"/>
      <c r="AS26" s="1082">
        <v>51</v>
      </c>
    </row>
    <row r="27" spans="1:45" ht="15" customHeight="1">
      <c r="Q27" s="313"/>
      <c r="R27" s="313"/>
      <c r="S27" s="2849" t="str">
        <f>IF(org=0,"Не определено",org)</f>
        <v>ТМУП "ТТС"</v>
      </c>
      <c r="T27" s="2849"/>
      <c r="U27" s="2849"/>
      <c r="V27" s="2849"/>
      <c r="W27" s="2849"/>
      <c r="X27" s="2849"/>
      <c r="Y27" s="2849"/>
      <c r="Z27" s="2849"/>
      <c r="AA27" s="2849"/>
      <c r="AB27" s="2849"/>
      <c r="AC27" s="2849"/>
      <c r="AD27" s="2849"/>
      <c r="AE27" s="2849"/>
      <c r="AF27" s="2849"/>
      <c r="AG27" s="2849"/>
      <c r="AH27" s="2849"/>
      <c r="AI27" s="2849"/>
      <c r="AJ27" s="2849"/>
      <c r="AK27" s="1170"/>
      <c r="AS27" s="1082">
        <v>14</v>
      </c>
    </row>
    <row r="28" spans="1:45" ht="14.25" hidden="1" customHeight="1">
      <c r="Q28" s="313"/>
      <c r="R28" s="313"/>
      <c r="S28" s="1202"/>
      <c r="T28" s="300"/>
      <c r="U28" s="300"/>
      <c r="V28" s="260"/>
      <c r="W28" s="260"/>
      <c r="X28" s="260"/>
      <c r="Y28" s="260"/>
      <c r="Z28" s="260"/>
      <c r="AA28" s="260"/>
      <c r="AB28" s="260"/>
      <c r="AC28" s="260"/>
      <c r="AD28" s="260"/>
      <c r="AE28" s="260"/>
      <c r="AF28" s="260"/>
      <c r="AG28" s="260"/>
      <c r="AH28" s="260"/>
      <c r="AI28" s="260"/>
      <c r="AJ28" s="260"/>
      <c r="AK28" s="260"/>
      <c r="AL28" s="446"/>
      <c r="AS28" s="1082">
        <v>0</v>
      </c>
    </row>
    <row r="29" spans="1:45" s="1778" customFormat="1" ht="25.5" hidden="1" customHeight="1">
      <c r="A29" s="1295"/>
      <c r="B29" s="1295"/>
      <c r="C29" s="1295"/>
      <c r="D29" s="1295"/>
      <c r="E29" s="1295"/>
      <c r="F29" s="1295"/>
      <c r="G29" s="1295"/>
      <c r="H29" s="1295"/>
      <c r="I29" s="1295"/>
      <c r="J29" s="1295"/>
      <c r="K29" s="1295"/>
      <c r="L29" s="1296"/>
      <c r="M29" s="1295"/>
      <c r="N29" s="1295"/>
      <c r="O29" s="1295"/>
      <c r="S29" s="2887" t="s">
        <v>46</v>
      </c>
      <c r="T29" s="2887"/>
      <c r="U29" s="1299"/>
      <c r="V29" s="2889" t="str">
        <f>IF(TITLE_NAME_OR_PR_CHANGE="",IF(TITLE_NAME_OR_PR="","",TITLE_NAME_OR_PR),TITLE_NAME_OR_PR_CHANGE)</f>
        <v/>
      </c>
      <c r="W29" s="2889"/>
      <c r="X29" s="2889"/>
      <c r="Y29" s="2889"/>
      <c r="Z29" s="2889"/>
      <c r="AA29" s="2889"/>
      <c r="AB29" s="2889"/>
      <c r="AC29" s="264"/>
      <c r="AD29" s="2889" t="str">
        <f>IF(TITLE_NAME_OR_PR_CHANGE="",IF(TITLE_NAME_OR_PR="","",TITLE_NAME_OR_PR),TITLE_NAME_OR_PR_CHANGE)</f>
        <v/>
      </c>
      <c r="AE29" s="2889"/>
      <c r="AF29" s="2889"/>
      <c r="AG29" s="2889"/>
      <c r="AH29" s="2889"/>
      <c r="AI29" s="2889"/>
      <c r="AJ29" s="2889"/>
      <c r="AK29" s="264"/>
      <c r="AL29" s="264"/>
      <c r="AM29" s="218"/>
      <c r="AN29" s="305"/>
      <c r="AO29" s="305"/>
      <c r="AP29" s="305"/>
      <c r="AQ29" s="305"/>
      <c r="AR29" s="305"/>
      <c r="AS29" s="355">
        <v>0</v>
      </c>
    </row>
    <row r="30" spans="1:45" s="1778" customFormat="1" ht="18.75" hidden="1" customHeight="1">
      <c r="A30" s="1295"/>
      <c r="B30" s="1295"/>
      <c r="C30" s="1295"/>
      <c r="D30" s="1295"/>
      <c r="E30" s="1295"/>
      <c r="F30" s="1295"/>
      <c r="G30" s="1295"/>
      <c r="H30" s="1295"/>
      <c r="I30" s="1295"/>
      <c r="J30" s="1295"/>
      <c r="K30" s="1295"/>
      <c r="L30" s="1296"/>
      <c r="M30" s="1295"/>
      <c r="N30" s="1295"/>
      <c r="O30" s="1295"/>
      <c r="S30" s="2887" t="s">
        <v>465</v>
      </c>
      <c r="T30" s="2887"/>
      <c r="U30" s="1299"/>
      <c r="V30" s="2888" t="str">
        <f>IF(TITLE_DATE_PR_CHANGE="",IF(TITLE_DATE_PR="","",TITLE_DATE_PR),TITLE_DATE_PR_CHANGE)</f>
        <v>14.11.2024</v>
      </c>
      <c r="W30" s="2888"/>
      <c r="X30" s="2888"/>
      <c r="Y30" s="2888"/>
      <c r="Z30" s="2888"/>
      <c r="AA30" s="2888"/>
      <c r="AB30" s="2888"/>
      <c r="AC30" s="264"/>
      <c r="AD30" s="2888" t="str">
        <f>IF(TITLE_DATE_PR_CHANGE="",IF(TITLE_DATE_PR="","",TITLE_DATE_PR),TITLE_DATE_PR_CHANGE)</f>
        <v>14.11.2024</v>
      </c>
      <c r="AE30" s="2888"/>
      <c r="AF30" s="2888"/>
      <c r="AG30" s="2888"/>
      <c r="AH30" s="2888"/>
      <c r="AI30" s="2888"/>
      <c r="AJ30" s="2888"/>
      <c r="AK30" s="264"/>
      <c r="AL30" s="264"/>
      <c r="AM30" s="218"/>
      <c r="AN30" s="305"/>
      <c r="AO30" s="305"/>
      <c r="AP30" s="305"/>
      <c r="AQ30" s="305"/>
      <c r="AR30" s="305"/>
      <c r="AS30" s="355">
        <v>0</v>
      </c>
    </row>
    <row r="31" spans="1:45" s="1778" customFormat="1" ht="18.75" hidden="1" customHeight="1">
      <c r="A31" s="1295"/>
      <c r="B31" s="1295"/>
      <c r="C31" s="1295"/>
      <c r="D31" s="1295"/>
      <c r="E31" s="1295"/>
      <c r="F31" s="1295"/>
      <c r="G31" s="1295"/>
      <c r="H31" s="1295"/>
      <c r="I31" s="1295"/>
      <c r="J31" s="1295"/>
      <c r="K31" s="1295"/>
      <c r="L31" s="1296"/>
      <c r="M31" s="1295"/>
      <c r="N31" s="1295"/>
      <c r="O31" s="1295"/>
      <c r="S31" s="2887" t="s">
        <v>466</v>
      </c>
      <c r="T31" s="2887"/>
      <c r="U31" s="1299"/>
      <c r="V31" s="2889" t="str">
        <f>IF(TITLE_NUMBER_PR_CHANGE="",IF(TITLE_NUMBER_PR="","",TITLE_NUMBER_PR),TITLE_NUMBER_PR_CHANGE)</f>
        <v>947 от 12.11.2024</v>
      </c>
      <c r="W31" s="2889"/>
      <c r="X31" s="2889"/>
      <c r="Y31" s="2889"/>
      <c r="Z31" s="2889"/>
      <c r="AA31" s="2889"/>
      <c r="AB31" s="2889"/>
      <c r="AC31" s="264"/>
      <c r="AD31" s="2889" t="str">
        <f>IF(TITLE_NUMBER_PR_CHANGE="",IF(TITLE_NUMBER_PR="","",TITLE_NUMBER_PR),TITLE_NUMBER_PR_CHANGE)</f>
        <v>947 от 12.11.2024</v>
      </c>
      <c r="AE31" s="2889"/>
      <c r="AF31" s="2889"/>
      <c r="AG31" s="2889"/>
      <c r="AH31" s="2889"/>
      <c r="AI31" s="2889"/>
      <c r="AJ31" s="2889"/>
      <c r="AK31" s="264"/>
      <c r="AL31" s="264"/>
      <c r="AM31" s="218"/>
      <c r="AN31" s="305"/>
      <c r="AO31" s="305"/>
      <c r="AP31" s="305"/>
      <c r="AQ31" s="305"/>
      <c r="AR31" s="305"/>
      <c r="AS31" s="355">
        <v>0</v>
      </c>
    </row>
    <row r="32" spans="1:45" s="1778" customFormat="1" ht="18.75" hidden="1" customHeight="1">
      <c r="A32" s="1295"/>
      <c r="B32" s="1295"/>
      <c r="C32" s="1295"/>
      <c r="D32" s="1295"/>
      <c r="E32" s="1295"/>
      <c r="F32" s="1295"/>
      <c r="G32" s="1295"/>
      <c r="H32" s="1295"/>
      <c r="I32" s="1295"/>
      <c r="J32" s="1295"/>
      <c r="K32" s="1295"/>
      <c r="L32" s="1296"/>
      <c r="M32" s="1295"/>
      <c r="N32" s="1295"/>
      <c r="O32" s="1295"/>
      <c r="S32" s="2887" t="s">
        <v>47</v>
      </c>
      <c r="T32" s="2887"/>
      <c r="U32" s="1299"/>
      <c r="V32" s="2889" t="str">
        <f>IF(TITLE_IST_PUB_CHANGE="",IF(TITLE_IST_PUB="","",TITLE_IST_PUB),TITLE_IST_PUB_CHANGE)</f>
        <v/>
      </c>
      <c r="W32" s="2889"/>
      <c r="X32" s="2889"/>
      <c r="Y32" s="2889"/>
      <c r="Z32" s="2889"/>
      <c r="AA32" s="2889"/>
      <c r="AB32" s="2889"/>
      <c r="AC32" s="264"/>
      <c r="AD32" s="2889" t="str">
        <f>IF(TITLE_IST_PUB_CHANGE="",IF(TITLE_IST_PUB="","",TITLE_IST_PUB),TITLE_IST_PUB_CHANGE)</f>
        <v/>
      </c>
      <c r="AE32" s="2889"/>
      <c r="AF32" s="2889"/>
      <c r="AG32" s="2889"/>
      <c r="AH32" s="2889"/>
      <c r="AI32" s="2889"/>
      <c r="AJ32" s="2889"/>
      <c r="AK32" s="264"/>
      <c r="AL32" s="264"/>
      <c r="AM32" s="218"/>
      <c r="AN32" s="305"/>
      <c r="AO32" s="305"/>
      <c r="AP32" s="305"/>
      <c r="AQ32" s="305"/>
      <c r="AR32" s="305"/>
      <c r="AS32" s="355">
        <v>0</v>
      </c>
    </row>
    <row r="33" spans="1:45" ht="14.25" customHeight="1">
      <c r="Q33" s="313"/>
      <c r="R33" s="313"/>
      <c r="S33" s="1202"/>
      <c r="T33" s="300"/>
      <c r="U33" s="300"/>
      <c r="V33" s="260"/>
      <c r="W33" s="260"/>
      <c r="X33" s="260"/>
      <c r="Y33" s="260"/>
      <c r="Z33" s="260"/>
      <c r="AA33" s="260"/>
      <c r="AB33" s="260"/>
      <c r="AC33" s="260"/>
      <c r="AD33" s="260"/>
      <c r="AE33" s="260"/>
      <c r="AF33" s="260"/>
      <c r="AG33" s="260"/>
      <c r="AH33" s="260"/>
      <c r="AI33" s="260"/>
      <c r="AJ33" s="260"/>
      <c r="AK33" s="260"/>
      <c r="AL33" s="446"/>
      <c r="AS33" s="1082">
        <v>0</v>
      </c>
    </row>
    <row r="34" spans="1:45" s="1778" customFormat="1" ht="18.75" customHeight="1">
      <c r="A34" s="1295"/>
      <c r="B34" s="1295"/>
      <c r="C34" s="1295"/>
      <c r="D34" s="1295"/>
      <c r="E34" s="1295"/>
      <c r="F34" s="1295"/>
      <c r="G34" s="1295"/>
      <c r="H34" s="1295"/>
      <c r="I34" s="1295"/>
      <c r="J34" s="1295"/>
      <c r="K34" s="1295"/>
      <c r="L34" s="1296"/>
      <c r="M34" s="1295"/>
      <c r="N34" s="1295"/>
      <c r="O34" s="1295"/>
      <c r="S34" s="2887" t="s">
        <v>467</v>
      </c>
      <c r="T34" s="2887"/>
      <c r="U34" s="1299"/>
      <c r="V34" s="2888" t="str">
        <f>IF(TITLE_DATE_PR_CHANGE="",IF(TITLE_DATE_PR="","",TITLE_DATE_PR),TITLE_DATE_PR_CHANGE)</f>
        <v>14.11.2024</v>
      </c>
      <c r="W34" s="2888"/>
      <c r="X34" s="2888"/>
      <c r="Y34" s="2888"/>
      <c r="Z34" s="2888"/>
      <c r="AA34" s="2888"/>
      <c r="AB34" s="2888"/>
      <c r="AC34" s="264"/>
      <c r="AD34" s="2888" t="str">
        <f>IF(TITLE_DATE_PR_CHANGE="",IF(TITLE_DATE_PR="","",TITLE_DATE_PR),TITLE_DATE_PR_CHANGE)</f>
        <v>14.11.2024</v>
      </c>
      <c r="AE34" s="2888"/>
      <c r="AF34" s="2888"/>
      <c r="AG34" s="2888"/>
      <c r="AH34" s="2888"/>
      <c r="AI34" s="2888"/>
      <c r="AJ34" s="2888"/>
      <c r="AK34" s="264"/>
      <c r="AL34" s="264"/>
      <c r="AM34" s="218"/>
      <c r="AN34" s="305"/>
      <c r="AO34" s="305"/>
      <c r="AP34" s="305"/>
      <c r="AQ34" s="305"/>
      <c r="AR34" s="305"/>
      <c r="AS34" s="355">
        <v>0</v>
      </c>
    </row>
    <row r="35" spans="1:45" s="1778" customFormat="1" ht="25.5" customHeight="1">
      <c r="A35" s="1295"/>
      <c r="B35" s="1295"/>
      <c r="C35" s="1295"/>
      <c r="D35" s="1295"/>
      <c r="E35" s="1295"/>
      <c r="F35" s="1295"/>
      <c r="G35" s="1295"/>
      <c r="H35" s="1295"/>
      <c r="I35" s="1295"/>
      <c r="J35" s="1295"/>
      <c r="K35" s="1295"/>
      <c r="L35" s="1296"/>
      <c r="M35" s="1295"/>
      <c r="N35" s="1295"/>
      <c r="O35" s="1295"/>
      <c r="S35" s="2887" t="s">
        <v>468</v>
      </c>
      <c r="T35" s="2887"/>
      <c r="U35" s="1299"/>
      <c r="V35" s="2889" t="str">
        <f>IF(TITLE_NUMBER_PR_CHANGE="",IF(TITLE_NUMBER_PR="","",TITLE_NUMBER_PR),TITLE_NUMBER_PR_CHANGE)</f>
        <v>947 от 12.11.2024</v>
      </c>
      <c r="W35" s="2889"/>
      <c r="X35" s="2889"/>
      <c r="Y35" s="2889"/>
      <c r="Z35" s="2889"/>
      <c r="AA35" s="2889"/>
      <c r="AB35" s="2889"/>
      <c r="AC35" s="264"/>
      <c r="AD35" s="2889" t="str">
        <f>IF(TITLE_NUMBER_PR_CHANGE="",IF(TITLE_NUMBER_PR="","",TITLE_NUMBER_PR),TITLE_NUMBER_PR_CHANGE)</f>
        <v>947 от 12.11.2024</v>
      </c>
      <c r="AE35" s="2889"/>
      <c r="AF35" s="2889"/>
      <c r="AG35" s="2889"/>
      <c r="AH35" s="2889"/>
      <c r="AI35" s="2889"/>
      <c r="AJ35" s="2889"/>
      <c r="AK35" s="264"/>
      <c r="AL35" s="264"/>
      <c r="AM35" s="218"/>
      <c r="AN35" s="305"/>
      <c r="AO35" s="305"/>
      <c r="AP35" s="305"/>
      <c r="AQ35" s="305"/>
      <c r="AR35" s="305"/>
      <c r="AS35" s="355">
        <v>0</v>
      </c>
    </row>
    <row r="36" spans="1:45" s="1778" customFormat="1" ht="0" hidden="1" customHeight="1">
      <c r="A36" s="1295"/>
      <c r="B36" s="1295"/>
      <c r="C36" s="1295"/>
      <c r="D36" s="1295"/>
      <c r="E36" s="1295"/>
      <c r="F36" s="1295"/>
      <c r="G36" s="1295"/>
      <c r="H36" s="1295"/>
      <c r="I36" s="1295"/>
      <c r="J36" s="1295"/>
      <c r="K36" s="1295"/>
      <c r="L36" s="1296"/>
      <c r="M36" s="1295"/>
      <c r="N36" s="1295"/>
      <c r="O36" s="1295"/>
      <c r="S36" s="261"/>
      <c r="T36" s="261"/>
      <c r="U36" s="1267"/>
      <c r="V36" s="264"/>
      <c r="W36" s="264"/>
      <c r="X36" s="264"/>
      <c r="Y36" s="264"/>
      <c r="Z36" s="264"/>
      <c r="AA36" s="264"/>
      <c r="AB36" s="264"/>
      <c r="AC36" s="216" t="s">
        <v>469</v>
      </c>
      <c r="AD36" s="264"/>
      <c r="AE36" s="264"/>
      <c r="AF36" s="264"/>
      <c r="AG36" s="264"/>
      <c r="AH36" s="264"/>
      <c r="AI36" s="264"/>
      <c r="AJ36" s="264"/>
      <c r="AK36" s="216" t="s">
        <v>469</v>
      </c>
      <c r="AN36" s="305"/>
      <c r="AO36" s="305"/>
      <c r="AP36" s="305"/>
      <c r="AQ36" s="305"/>
      <c r="AR36" s="305"/>
      <c r="AS36" s="355">
        <v>0</v>
      </c>
    </row>
    <row r="37" spans="1:45" ht="15" customHeight="1">
      <c r="Q37" s="313"/>
      <c r="R37" s="313"/>
      <c r="S37" s="1202"/>
      <c r="T37" s="300"/>
      <c r="U37" s="1171"/>
      <c r="V37" s="2908"/>
      <c r="W37" s="2908"/>
      <c r="X37" s="2908"/>
      <c r="Y37" s="2908"/>
      <c r="Z37" s="2908"/>
      <c r="AA37" s="2908"/>
      <c r="AB37" s="2908"/>
      <c r="AC37" s="2908"/>
      <c r="AD37" s="2908"/>
      <c r="AE37" s="2908"/>
      <c r="AF37" s="2908"/>
      <c r="AG37" s="2908"/>
      <c r="AH37" s="2908"/>
      <c r="AI37" s="2908"/>
      <c r="AJ37" s="2908"/>
      <c r="AK37" s="2908"/>
      <c r="AS37" s="1082">
        <v>14</v>
      </c>
    </row>
    <row r="38" spans="1:45" ht="15" customHeight="1">
      <c r="Q38" s="313"/>
      <c r="R38" s="313"/>
      <c r="S38" s="2758" t="s">
        <v>345</v>
      </c>
      <c r="T38" s="2758"/>
      <c r="U38" s="2758"/>
      <c r="V38" s="2758"/>
      <c r="W38" s="2758"/>
      <c r="X38" s="2758"/>
      <c r="Y38" s="2758"/>
      <c r="Z38" s="2758"/>
      <c r="AA38" s="2758"/>
      <c r="AB38" s="2758"/>
      <c r="AC38" s="2758"/>
      <c r="AD38" s="2758"/>
      <c r="AE38" s="2758"/>
      <c r="AF38" s="2758"/>
      <c r="AG38" s="2758"/>
      <c r="AH38" s="2758"/>
      <c r="AI38" s="2758"/>
      <c r="AJ38" s="2758"/>
      <c r="AK38" s="2758"/>
      <c r="AL38" s="2758"/>
      <c r="AM38" s="2758" t="s">
        <v>346</v>
      </c>
      <c r="AS38" s="1082">
        <v>14</v>
      </c>
    </row>
    <row r="39" spans="1:45" ht="15" customHeight="1">
      <c r="Q39" s="313"/>
      <c r="R39" s="313"/>
      <c r="S39" s="2909" t="s">
        <v>93</v>
      </c>
      <c r="T39" s="2857" t="s">
        <v>470</v>
      </c>
      <c r="U39" s="239"/>
      <c r="V39" s="2910" t="s">
        <v>471</v>
      </c>
      <c r="W39" s="2911"/>
      <c r="X39" s="2911"/>
      <c r="Y39" s="2911"/>
      <c r="Z39" s="2911"/>
      <c r="AA39" s="2911"/>
      <c r="AB39" s="2912"/>
      <c r="AC39" s="2913" t="s">
        <v>472</v>
      </c>
      <c r="AD39" s="2910" t="s">
        <v>471</v>
      </c>
      <c r="AE39" s="2911"/>
      <c r="AF39" s="2911"/>
      <c r="AG39" s="2911"/>
      <c r="AH39" s="2911"/>
      <c r="AI39" s="2911"/>
      <c r="AJ39" s="2912"/>
      <c r="AK39" s="2913" t="s">
        <v>473</v>
      </c>
      <c r="AL39" s="2916" t="s">
        <v>474</v>
      </c>
      <c r="AM39" s="2758"/>
      <c r="AS39" s="1082">
        <v>14</v>
      </c>
    </row>
    <row r="40" spans="1:45" ht="36" customHeight="1">
      <c r="Q40" s="313"/>
      <c r="R40" s="313"/>
      <c r="S40" s="2909"/>
      <c r="T40" s="2857"/>
      <c r="U40" s="961"/>
      <c r="V40" s="2829" t="s">
        <v>475</v>
      </c>
      <c r="W40" s="2905"/>
      <c r="X40" s="2740" t="s">
        <v>477</v>
      </c>
      <c r="Y40" s="2739"/>
      <c r="Z40" s="2740" t="s">
        <v>478</v>
      </c>
      <c r="AA40" s="2745"/>
      <c r="AB40" s="2739"/>
      <c r="AC40" s="2914"/>
      <c r="AD40" s="2829" t="s">
        <v>496</v>
      </c>
      <c r="AE40" s="2905"/>
      <c r="AF40" s="2740" t="s">
        <v>477</v>
      </c>
      <c r="AG40" s="2739"/>
      <c r="AH40" s="2740" t="s">
        <v>478</v>
      </c>
      <c r="AI40" s="2745"/>
      <c r="AJ40" s="2739"/>
      <c r="AK40" s="2914"/>
      <c r="AL40" s="2917"/>
      <c r="AM40" s="2758"/>
      <c r="AS40" s="1082">
        <v>34</v>
      </c>
    </row>
    <row r="41" spans="1:45" ht="36" customHeight="1">
      <c r="A41" s="1297"/>
      <c r="B41" s="1297" t="s">
        <v>140</v>
      </c>
      <c r="C41" s="1297" t="s">
        <v>141</v>
      </c>
      <c r="D41" s="1297" t="s">
        <v>142</v>
      </c>
      <c r="E41" s="1291" t="s">
        <v>479</v>
      </c>
      <c r="F41" s="1291" t="s">
        <v>480</v>
      </c>
      <c r="G41" s="1291" t="s">
        <v>481</v>
      </c>
      <c r="H41" s="1291" t="s">
        <v>482</v>
      </c>
      <c r="I41" s="1291" t="s">
        <v>483</v>
      </c>
      <c r="J41" s="1291" t="s">
        <v>484</v>
      </c>
      <c r="K41" s="1291" t="s">
        <v>485</v>
      </c>
      <c r="L41" s="1291" t="s">
        <v>460</v>
      </c>
      <c r="Q41" s="313"/>
      <c r="R41" s="313"/>
      <c r="S41" s="2909"/>
      <c r="T41" s="2857"/>
      <c r="U41" s="240"/>
      <c r="V41" s="2882"/>
      <c r="W41" s="2906"/>
      <c r="X41" s="1149" t="s">
        <v>486</v>
      </c>
      <c r="Y41" s="1149" t="s">
        <v>487</v>
      </c>
      <c r="Z41" s="1265" t="s">
        <v>488</v>
      </c>
      <c r="AA41" s="2862" t="s">
        <v>489</v>
      </c>
      <c r="AB41" s="2876"/>
      <c r="AC41" s="2915"/>
      <c r="AD41" s="2882"/>
      <c r="AE41" s="2906"/>
      <c r="AF41" s="1149" t="s">
        <v>486</v>
      </c>
      <c r="AG41" s="1149" t="s">
        <v>487</v>
      </c>
      <c r="AH41" s="1265" t="s">
        <v>488</v>
      </c>
      <c r="AI41" s="2862" t="s">
        <v>489</v>
      </c>
      <c r="AJ41" s="2876"/>
      <c r="AK41" s="2915"/>
      <c r="AL41" s="2918"/>
      <c r="AM41" s="2758"/>
      <c r="AS41" s="1082">
        <v>34</v>
      </c>
    </row>
    <row r="42" spans="1:45" s="1568" customFormat="1" ht="11.25" hidden="1" customHeight="1">
      <c r="A42" s="1297"/>
      <c r="B42" s="1297"/>
      <c r="C42" s="1297"/>
      <c r="D42" s="1297"/>
      <c r="E42" s="1297"/>
      <c r="F42" s="1297"/>
      <c r="G42" s="1297"/>
      <c r="H42" s="1297"/>
      <c r="I42" s="1297"/>
      <c r="J42" s="1297"/>
      <c r="K42" s="1297"/>
      <c r="L42" s="1291"/>
      <c r="M42" s="1289"/>
      <c r="N42" s="1289"/>
      <c r="O42" s="1289"/>
      <c r="P42" s="1173"/>
      <c r="Q42" s="1174"/>
      <c r="R42" s="1181">
        <v>1</v>
      </c>
      <c r="S42" s="1204" t="s">
        <v>114</v>
      </c>
      <c r="T42" s="1182" t="s">
        <v>115</v>
      </c>
      <c r="U42" s="1172" t="str">
        <f ca="1">OFFSET(U42,0,-1)</f>
        <v>2</v>
      </c>
      <c r="V42" s="1262">
        <f ca="1">OFFSET(V42,0,-1)+1</f>
        <v>3</v>
      </c>
      <c r="W42" s="1262"/>
      <c r="X42" s="1262">
        <f ca="1">OFFSET(X42,0,-1)+1</f>
        <v>1</v>
      </c>
      <c r="Y42" s="1262">
        <f ca="1">OFFSET(Y42,0,-1)+1</f>
        <v>2</v>
      </c>
      <c r="Z42" s="1262">
        <f ca="1">OFFSET(Z42,0,-1)+1</f>
        <v>3</v>
      </c>
      <c r="AA42" s="2907">
        <f ca="1">OFFSET(AA42,0,-1)+1</f>
        <v>4</v>
      </c>
      <c r="AB42" s="2907"/>
      <c r="AC42" s="1262">
        <f ca="1">OFFSET(AC42,0,-2)+1</f>
        <v>5</v>
      </c>
      <c r="AD42" s="1262">
        <f ca="1">OFFSET(AD42,0,-1)+1</f>
        <v>6</v>
      </c>
      <c r="AE42" s="1262"/>
      <c r="AF42" s="1262">
        <f ca="1">OFFSET(AF42,0,-1)+1</f>
        <v>1</v>
      </c>
      <c r="AG42" s="1262">
        <f ca="1">OFFSET(AG42,0,-1)+1</f>
        <v>2</v>
      </c>
      <c r="AH42" s="1262">
        <f ca="1">OFFSET(AH42,0,-1)+1</f>
        <v>3</v>
      </c>
      <c r="AI42" s="2907">
        <f ca="1">OFFSET(AI42,0,-1)+1</f>
        <v>4</v>
      </c>
      <c r="AJ42" s="2907"/>
      <c r="AK42" s="1262">
        <f ca="1">OFFSET(AK42,0,-2)+1</f>
        <v>5</v>
      </c>
      <c r="AL42" s="1172">
        <f ca="1">OFFSET(AL42,0,-1)</f>
        <v>5</v>
      </c>
      <c r="AM42" s="1262">
        <f ca="1">OFFSET(AM42,0,-1)+1</f>
        <v>6</v>
      </c>
      <c r="AN42" s="448"/>
      <c r="AO42" s="448"/>
      <c r="AP42" s="448"/>
      <c r="AQ42" s="448"/>
      <c r="AR42" s="448"/>
      <c r="AS42" s="433">
        <v>0</v>
      </c>
    </row>
    <row r="43" spans="1:45" ht="21.75" customHeight="1">
      <c r="A43" s="1290" t="s">
        <v>233</v>
      </c>
      <c r="B43" s="1290"/>
      <c r="C43" s="1290"/>
      <c r="D43" s="1290"/>
      <c r="E43" s="2896">
        <v>1</v>
      </c>
      <c r="F43" s="1290"/>
      <c r="G43" s="1290"/>
      <c r="H43" s="1290"/>
      <c r="I43" s="1290"/>
      <c r="J43" s="1290"/>
      <c r="K43" s="1290"/>
      <c r="L43" s="1291"/>
      <c r="M43" s="1292"/>
      <c r="N43" s="1292"/>
      <c r="O43" s="1292"/>
      <c r="P43" s="298"/>
      <c r="Q43" s="297"/>
      <c r="R43" s="292"/>
      <c r="S43" s="1263">
        <f>INDEX(PT_DIFFERENTIATION_NUM_NTAR,MATCH(A43,PT_DIFFERENTIATION_NTAR_ID,0))</f>
        <v>0</v>
      </c>
      <c r="T43" s="236" t="s">
        <v>128</v>
      </c>
      <c r="U43" s="238"/>
      <c r="V43" s="2890"/>
      <c r="W43" s="2891"/>
      <c r="X43" s="2891"/>
      <c r="Y43" s="2891"/>
      <c r="Z43" s="2891"/>
      <c r="AA43" s="2891"/>
      <c r="AB43" s="2891"/>
      <c r="AC43" s="2892"/>
      <c r="AD43" s="2890" t="str">
        <f>INDEX(PT_DIFFERENTIATION_NTAR,MATCH(A43,PT_DIFFERENTIATION_NTAR_ID,0))</f>
        <v/>
      </c>
      <c r="AE43" s="2891"/>
      <c r="AF43" s="2891"/>
      <c r="AG43" s="2891"/>
      <c r="AH43" s="2891"/>
      <c r="AI43" s="2891"/>
      <c r="AJ43" s="2891"/>
      <c r="AK43" s="2891"/>
      <c r="AL43" s="2892"/>
      <c r="AM43" s="1185" t="str">
        <f>IF(TEMPLATE_GROUP="P","По данной форме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"&amp;"с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"&amp;"2010 г. N 190-ФЗ ""О теплоснабжении"", а также информация о тарифах на теплоноситель в виде воды, поставляемый теплоснабжающей организацией, теплосетевой организацией в ценовых зонах "&amp;"теплоснабжения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"&amp;"6 части 1 статьи 23 4 Федерального закона от 27 июля 2010 г. N 190-ФЗ ""О теплоснабжении"".
"&amp;"Для каждого вида тарифа в сфере теплоснабжения форма заполняется отдельно.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цены"&amp;" (тарифа), источник официального опубликования решения об установлении цены (тарифа) в сфере теплоснабжения.","Для каждого вида тарифа в сфере теплоснабжения форма заполняется отдельно.
"&amp;"В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"&amp;"В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"&amp;"организациям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"&amp;"Федерального закона от 27 июля 2010 г. N 190-ФЗ ""О теплоснабжении"". Указывается наименование тарифа в случае "&amp;IF(TEMPLATE_GROUP="P","утверждения","предложения")&amp;" нескольких тарифов.
В случае наличия нескольких тарифов информация по ним указывается в отдельных строках.")</f>
        <v>Для каждого вида тарифа в сфере теплоснабжения форма заполняется отдельно.
В соответствии с данной формой раскрывается в том числе информация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В соответствии с данной формой раскрывается в том числе информация о тарифах на теплоноситель в виде воды, поставляемый теплоснабжающей организаций, теплосетевой организацией в ценовых зонах теплоснабжения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 4 Федерального закона от 27 июля 2010 г. N 190-ФЗ "О теплоснабжении". Указывается наименование тарифа в случае предложения нескольких тарифов.
В случае наличия нескольких тарифов информация по ним указывается в отдельных строках.</v>
      </c>
      <c r="AO43" s="437"/>
      <c r="AP43" s="437" t="str">
        <f t="shared" ref="AP43:AP57" si="1">IF(T43="","",T43)</f>
        <v>Наименование тарифа</v>
      </c>
      <c r="AQ43" s="437"/>
      <c r="AR43" s="437"/>
      <c r="AS43" s="1082">
        <v>21</v>
      </c>
    </row>
    <row r="44" spans="1:45" ht="21.75" customHeight="1">
      <c r="A44" s="1290" t="s">
        <v>233</v>
      </c>
      <c r="B44" s="1290" t="s">
        <v>234</v>
      </c>
      <c r="C44" s="1290"/>
      <c r="D44" s="1290"/>
      <c r="E44" s="2897"/>
      <c r="F44" s="2896">
        <v>1</v>
      </c>
      <c r="G44" s="1290"/>
      <c r="H44" s="1290"/>
      <c r="I44" s="1290"/>
      <c r="J44" s="1290"/>
      <c r="K44" s="1290"/>
      <c r="L44" s="1291"/>
      <c r="M44" s="1292"/>
      <c r="N44" s="1292"/>
      <c r="O44" s="1292"/>
      <c r="P44" s="1259"/>
      <c r="Q44" s="289"/>
      <c r="R44" s="290"/>
      <c r="S44" s="1263" t="str">
        <f>INDEX(PT_DIFFERENTIATION_NUM_TER,MATCH(B44,PT_DIFFERENTIATION_TER_ID,0))</f>
        <v>.</v>
      </c>
      <c r="T44" s="246" t="s">
        <v>442</v>
      </c>
      <c r="U44" s="238"/>
      <c r="V44" s="2890"/>
      <c r="W44" s="2891"/>
      <c r="X44" s="2891"/>
      <c r="Y44" s="2891"/>
      <c r="Z44" s="2891"/>
      <c r="AA44" s="2891"/>
      <c r="AB44" s="2891"/>
      <c r="AC44" s="2892"/>
      <c r="AD44" s="2890" t="str">
        <f>INDEX(PT_DIFFERENTIATION_TER,MATCH(B44,PT_DIFFERENTIATION_TER_ID,0))</f>
        <v/>
      </c>
      <c r="AE44" s="2891"/>
      <c r="AF44" s="2891"/>
      <c r="AG44" s="2891"/>
      <c r="AH44" s="2891"/>
      <c r="AI44" s="2891"/>
      <c r="AJ44" s="2891"/>
      <c r="AK44" s="2891"/>
      <c r="AL44" s="2892"/>
      <c r="AM44" s="1185" t="s">
        <v>443</v>
      </c>
      <c r="AO44" s="437"/>
      <c r="AP44" s="437" t="str">
        <f t="shared" si="1"/>
        <v>Территория действия тарифа</v>
      </c>
      <c r="AQ44" s="437"/>
      <c r="AR44" s="437"/>
      <c r="AS44" s="1082">
        <v>21</v>
      </c>
    </row>
    <row r="45" spans="1:45" ht="24" customHeight="1">
      <c r="A45" s="1290" t="s">
        <v>233</v>
      </c>
      <c r="B45" s="1290" t="s">
        <v>234</v>
      </c>
      <c r="C45" s="1290" t="s">
        <v>235</v>
      </c>
      <c r="D45" s="1290"/>
      <c r="E45" s="2897"/>
      <c r="F45" s="2897"/>
      <c r="G45" s="2896">
        <v>1</v>
      </c>
      <c r="H45" s="1290"/>
      <c r="I45" s="1290"/>
      <c r="J45" s="1290"/>
      <c r="K45" s="1290"/>
      <c r="L45" s="1291"/>
      <c r="M45" s="1292"/>
      <c r="N45" s="1292"/>
      <c r="O45" s="1292"/>
      <c r="P45" s="291"/>
      <c r="Q45" s="289"/>
      <c r="R45" s="290"/>
      <c r="S45" s="1263" t="str">
        <f>INDEX(PT_DIFFERENTIATION_NUM_CS,MATCH(C45,PT_DIFFERENTIATION_CS_ID,0))</f>
        <v>..</v>
      </c>
      <c r="T45" s="247" t="s">
        <v>444</v>
      </c>
      <c r="U45" s="238"/>
      <c r="V45" s="2890"/>
      <c r="W45" s="2891"/>
      <c r="X45" s="2891"/>
      <c r="Y45" s="2891"/>
      <c r="Z45" s="2891"/>
      <c r="AA45" s="2891"/>
      <c r="AB45" s="2891"/>
      <c r="AC45" s="2892"/>
      <c r="AD45" s="2890" t="str">
        <f>INDEX(PT_DIFFERENTIATION_CS,MATCH(C45,PT_DIFFERENTIATION_CS_ID,0))</f>
        <v/>
      </c>
      <c r="AE45" s="2891"/>
      <c r="AF45" s="2891"/>
      <c r="AG45" s="2891"/>
      <c r="AH45" s="2891"/>
      <c r="AI45" s="2891"/>
      <c r="AJ45" s="2891"/>
      <c r="AK45" s="2891"/>
      <c r="AL45" s="2892"/>
      <c r="AM45" s="1185" t="s">
        <v>445</v>
      </c>
      <c r="AO45" s="437"/>
      <c r="AP45" s="437" t="str">
        <f t="shared" si="1"/>
        <v xml:space="preserve">Наименование системы теплоснабжения </v>
      </c>
      <c r="AQ45" s="437"/>
      <c r="AR45" s="437"/>
      <c r="AS45" s="1082">
        <v>23</v>
      </c>
    </row>
    <row r="46" spans="1:45" ht="21.75" customHeight="1">
      <c r="A46" s="1290" t="s">
        <v>233</v>
      </c>
      <c r="B46" s="1290" t="s">
        <v>234</v>
      </c>
      <c r="C46" s="1290" t="s">
        <v>235</v>
      </c>
      <c r="D46" s="1290" t="s">
        <v>236</v>
      </c>
      <c r="E46" s="2897"/>
      <c r="F46" s="2897"/>
      <c r="G46" s="2897"/>
      <c r="H46" s="2896">
        <v>1</v>
      </c>
      <c r="I46" s="1290"/>
      <c r="J46" s="1290"/>
      <c r="K46" s="1290"/>
      <c r="L46" s="1291"/>
      <c r="M46" s="1292"/>
      <c r="N46" s="1292"/>
      <c r="O46" s="1292"/>
      <c r="P46" s="291"/>
      <c r="Q46" s="289"/>
      <c r="R46" s="290"/>
      <c r="S46" s="1263" t="str">
        <f>INDEX(PT_DIFFERENTIATION_NUM_IST_TE,MATCH(D46,PT_DIFFERENTIATION_IST_TE_ID,0))</f>
        <v>...</v>
      </c>
      <c r="T46" s="248" t="s">
        <v>446</v>
      </c>
      <c r="U46" s="238"/>
      <c r="V46" s="2890"/>
      <c r="W46" s="2891"/>
      <c r="X46" s="2891"/>
      <c r="Y46" s="2891"/>
      <c r="Z46" s="2891"/>
      <c r="AA46" s="2891"/>
      <c r="AB46" s="2891"/>
      <c r="AC46" s="2892"/>
      <c r="AD46" s="2890" t="str">
        <f>INDEX(PT_DIFFERENTIATION_IST_TE,MATCH(D46,PT_DIFFERENTIATION_IST_TE_ID,0))</f>
        <v/>
      </c>
      <c r="AE46" s="2891"/>
      <c r="AF46" s="2891"/>
      <c r="AG46" s="2891"/>
      <c r="AH46" s="2891"/>
      <c r="AI46" s="2891"/>
      <c r="AJ46" s="2891"/>
      <c r="AK46" s="2891"/>
      <c r="AL46" s="2892"/>
      <c r="AM46" s="1185" t="s">
        <v>447</v>
      </c>
      <c r="AO46" s="437"/>
      <c r="AP46" s="437" t="str">
        <f t="shared" si="1"/>
        <v xml:space="preserve">Источник тепловой энергии  </v>
      </c>
      <c r="AQ46" s="437"/>
      <c r="AR46" s="437"/>
      <c r="AS46" s="1082">
        <v>21</v>
      </c>
    </row>
    <row r="47" spans="1:45" s="1569" customFormat="1" ht="0" hidden="1" customHeight="1">
      <c r="A47" s="1270" t="s">
        <v>233</v>
      </c>
      <c r="B47" s="1270" t="s">
        <v>234</v>
      </c>
      <c r="C47" s="1270" t="s">
        <v>235</v>
      </c>
      <c r="D47" s="1270" t="s">
        <v>236</v>
      </c>
      <c r="E47" s="2897"/>
      <c r="F47" s="2897"/>
      <c r="G47" s="2897"/>
      <c r="H47" s="2897"/>
      <c r="I47" s="2898" t="str">
        <f>S46&amp;".1"</f>
        <v>....1</v>
      </c>
      <c r="J47" s="1270"/>
      <c r="K47" s="1270"/>
      <c r="L47" s="1273" t="s">
        <v>448</v>
      </c>
      <c r="M47" s="447"/>
      <c r="N47" s="447"/>
      <c r="O47" s="447"/>
      <c r="P47" s="2900">
        <v>1</v>
      </c>
      <c r="Q47" s="1258"/>
      <c r="R47" s="293"/>
      <c r="S47" s="972"/>
      <c r="T47" s="1310"/>
      <c r="U47" s="1311"/>
      <c r="V47" s="2928"/>
      <c r="W47" s="2929"/>
      <c r="X47" s="2929"/>
      <c r="Y47" s="2929"/>
      <c r="Z47" s="2929"/>
      <c r="AA47" s="2929"/>
      <c r="AB47" s="2929"/>
      <c r="AC47" s="2930"/>
      <c r="AD47" s="2928"/>
      <c r="AE47" s="2929"/>
      <c r="AF47" s="2929"/>
      <c r="AG47" s="2929"/>
      <c r="AH47" s="2929"/>
      <c r="AI47" s="2929"/>
      <c r="AJ47" s="2929"/>
      <c r="AK47" s="2929"/>
      <c r="AL47" s="2930"/>
      <c r="AM47" s="1312"/>
      <c r="AO47" s="437"/>
      <c r="AP47" s="437" t="str">
        <f t="shared" si="1"/>
        <v/>
      </c>
      <c r="AQ47" s="437"/>
      <c r="AR47" s="437"/>
      <c r="AS47" s="448">
        <v>0</v>
      </c>
    </row>
    <row r="48" spans="1:45" ht="21.75" customHeight="1">
      <c r="A48" s="1290" t="s">
        <v>233</v>
      </c>
      <c r="B48" s="1290" t="s">
        <v>234</v>
      </c>
      <c r="C48" s="1290" t="s">
        <v>235</v>
      </c>
      <c r="D48" s="1290" t="s">
        <v>236</v>
      </c>
      <c r="E48" s="2897"/>
      <c r="F48" s="2897"/>
      <c r="G48" s="2897"/>
      <c r="H48" s="2897"/>
      <c r="I48" s="2899"/>
      <c r="J48" s="2898" t="str">
        <f>S46&amp;".1"</f>
        <v>....1</v>
      </c>
      <c r="K48" s="1290"/>
      <c r="L48" s="1291" t="s">
        <v>451</v>
      </c>
      <c r="P48" s="2900"/>
      <c r="Q48" s="2900">
        <v>1</v>
      </c>
      <c r="R48" s="294"/>
      <c r="S48" s="1263" t="str">
        <f>$J48</f>
        <v>....1</v>
      </c>
      <c r="T48" s="224" t="s">
        <v>452</v>
      </c>
      <c r="U48" s="238"/>
      <c r="V48" s="2884"/>
      <c r="W48" s="2885"/>
      <c r="X48" s="2885"/>
      <c r="Y48" s="2885"/>
      <c r="Z48" s="2885"/>
      <c r="AA48" s="2885"/>
      <c r="AB48" s="2885"/>
      <c r="AC48" s="2886"/>
      <c r="AD48" s="2884"/>
      <c r="AE48" s="2885"/>
      <c r="AF48" s="2885"/>
      <c r="AG48" s="2885"/>
      <c r="AH48" s="2885"/>
      <c r="AI48" s="2885"/>
      <c r="AJ48" s="2885"/>
      <c r="AK48" s="2885"/>
      <c r="AL48" s="2886"/>
      <c r="AM48" s="1185" t="s">
        <v>453</v>
      </c>
      <c r="AO48" s="437"/>
      <c r="AP48" s="437" t="str">
        <f t="shared" si="1"/>
        <v>Группа потребителей</v>
      </c>
      <c r="AQ48" s="437"/>
      <c r="AR48" s="437"/>
      <c r="AS48" s="1082">
        <v>21</v>
      </c>
    </row>
    <row r="49" spans="1:45" ht="21.75" customHeight="1">
      <c r="A49" s="1290" t="s">
        <v>233</v>
      </c>
      <c r="B49" s="1290" t="s">
        <v>234</v>
      </c>
      <c r="C49" s="1290" t="s">
        <v>235</v>
      </c>
      <c r="D49" s="1290" t="s">
        <v>236</v>
      </c>
      <c r="E49" s="2897"/>
      <c r="F49" s="2897"/>
      <c r="G49" s="2897"/>
      <c r="H49" s="2897"/>
      <c r="I49" s="2899"/>
      <c r="J49" s="2899"/>
      <c r="K49" s="2898" t="str">
        <f>J48&amp;".1"</f>
        <v>....1.1</v>
      </c>
      <c r="L49" s="1291" t="s">
        <v>454</v>
      </c>
      <c r="P49" s="2900"/>
      <c r="Q49" s="2900"/>
      <c r="R49" s="294">
        <v>1</v>
      </c>
      <c r="S49" s="1263" t="str">
        <f>$K49</f>
        <v>....1.1</v>
      </c>
      <c r="T49" s="1274"/>
      <c r="U49" s="238"/>
      <c r="V49" s="688"/>
      <c r="W49" s="263"/>
      <c r="X49" s="688"/>
      <c r="Y49" s="1184"/>
      <c r="Z49" s="2901"/>
      <c r="AA49" s="2768" t="s">
        <v>71</v>
      </c>
      <c r="AB49" s="2901"/>
      <c r="AC49" s="2768" t="s">
        <v>71</v>
      </c>
      <c r="AD49" s="688"/>
      <c r="AE49" s="263"/>
      <c r="AF49" s="688"/>
      <c r="AG49" s="1184"/>
      <c r="AH49" s="2901"/>
      <c r="AI49" s="2768" t="s">
        <v>71</v>
      </c>
      <c r="AJ49" s="2903"/>
      <c r="AK49" s="2768" t="s">
        <v>71</v>
      </c>
      <c r="AL49" s="1275"/>
      <c r="AM49" s="2919" t="s">
        <v>497</v>
      </c>
      <c r="AN49" s="448" t="e">
        <f ca="1">STRCHECKDATE(V50:AL50)</f>
        <v>#NAME?</v>
      </c>
      <c r="AO49" s="437"/>
      <c r="AP49" s="437" t="str">
        <f t="shared" si="1"/>
        <v/>
      </c>
      <c r="AQ49" s="437"/>
      <c r="AR49" s="437"/>
      <c r="AS49" s="1082">
        <v>21</v>
      </c>
    </row>
    <row r="50" spans="1:45" ht="0" hidden="1" customHeight="1">
      <c r="A50" s="1290" t="s">
        <v>233</v>
      </c>
      <c r="B50" s="1290" t="s">
        <v>234</v>
      </c>
      <c r="C50" s="1290" t="s">
        <v>235</v>
      </c>
      <c r="D50" s="1290" t="s">
        <v>236</v>
      </c>
      <c r="E50" s="2897"/>
      <c r="F50" s="2897"/>
      <c r="G50" s="2897"/>
      <c r="H50" s="2897"/>
      <c r="I50" s="2899"/>
      <c r="J50" s="2899"/>
      <c r="K50" s="2898"/>
      <c r="L50" s="1291"/>
      <c r="P50" s="2900"/>
      <c r="Q50" s="2900"/>
      <c r="R50" s="294"/>
      <c r="S50" s="1269"/>
      <c r="T50" s="238"/>
      <c r="U50" s="238"/>
      <c r="V50" s="263"/>
      <c r="W50" s="263"/>
      <c r="X50" s="263"/>
      <c r="Y50" s="266" t="str">
        <f>Z49&amp;"-"&amp;AB49</f>
        <v>-</v>
      </c>
      <c r="Z50" s="2902"/>
      <c r="AA50" s="2768"/>
      <c r="AB50" s="2902"/>
      <c r="AC50" s="2768"/>
      <c r="AD50" s="263"/>
      <c r="AE50" s="263"/>
      <c r="AF50" s="263"/>
      <c r="AG50" s="266" t="str">
        <f>AH49&amp;"-"&amp;AJ49</f>
        <v>-</v>
      </c>
      <c r="AH50" s="2902"/>
      <c r="AI50" s="2768"/>
      <c r="AJ50" s="2904"/>
      <c r="AK50" s="2768"/>
      <c r="AL50" s="1276"/>
      <c r="AM50" s="2920"/>
      <c r="AO50" s="437"/>
      <c r="AP50" s="437" t="str">
        <f t="shared" si="1"/>
        <v/>
      </c>
      <c r="AQ50" s="437"/>
      <c r="AR50" s="437"/>
      <c r="AS50" s="1082">
        <v>0</v>
      </c>
    </row>
    <row r="51" spans="1:45" ht="11.25" customHeight="1">
      <c r="A51" s="1290" t="s">
        <v>233</v>
      </c>
      <c r="B51" s="1290" t="s">
        <v>234</v>
      </c>
      <c r="C51" s="1290" t="s">
        <v>235</v>
      </c>
      <c r="D51" s="1290" t="s">
        <v>236</v>
      </c>
      <c r="E51" s="2897"/>
      <c r="F51" s="2897"/>
      <c r="G51" s="2897"/>
      <c r="H51" s="2897"/>
      <c r="I51" s="2899"/>
      <c r="J51" s="2898"/>
      <c r="K51" s="1290"/>
      <c r="L51" s="1291"/>
      <c r="P51" s="2900"/>
      <c r="Q51" s="2900"/>
      <c r="R51" s="293"/>
      <c r="S51" s="1205"/>
      <c r="T51" s="225" t="s">
        <v>456</v>
      </c>
      <c r="U51" s="304"/>
      <c r="V51" s="304"/>
      <c r="W51" s="304"/>
      <c r="X51" s="304"/>
      <c r="Y51" s="304"/>
      <c r="Z51" s="304"/>
      <c r="AA51" s="304"/>
      <c r="AB51" s="304"/>
      <c r="AC51" s="304"/>
      <c r="AD51" s="304"/>
      <c r="AE51" s="304"/>
      <c r="AF51" s="304"/>
      <c r="AG51" s="304"/>
      <c r="AH51" s="304"/>
      <c r="AI51" s="304"/>
      <c r="AJ51" s="304"/>
      <c r="AK51" s="304"/>
      <c r="AL51" s="262"/>
      <c r="AM51" s="2921"/>
      <c r="AO51" s="437"/>
      <c r="AP51" s="437" t="str">
        <f t="shared" si="1"/>
        <v>Добавить вид теплоносителя (параметры теплоносителя)</v>
      </c>
      <c r="AQ51" s="437"/>
      <c r="AR51" s="437"/>
      <c r="AS51" s="1082">
        <v>11</v>
      </c>
    </row>
    <row r="52" spans="1:45" ht="11.25" customHeight="1">
      <c r="A52" s="1290" t="s">
        <v>233</v>
      </c>
      <c r="B52" s="1290" t="s">
        <v>234</v>
      </c>
      <c r="C52" s="1290" t="s">
        <v>235</v>
      </c>
      <c r="D52" s="1290" t="s">
        <v>236</v>
      </c>
      <c r="E52" s="2897"/>
      <c r="F52" s="2897"/>
      <c r="G52" s="2897"/>
      <c r="H52" s="2897"/>
      <c r="I52" s="2898"/>
      <c r="J52" s="1290"/>
      <c r="K52" s="1290"/>
      <c r="L52" s="1291"/>
      <c r="P52" s="2900"/>
      <c r="Q52" s="1258"/>
      <c r="R52" s="293"/>
      <c r="S52" s="1205"/>
      <c r="T52" s="302" t="s">
        <v>457</v>
      </c>
      <c r="U52" s="304"/>
      <c r="V52" s="304"/>
      <c r="W52" s="304"/>
      <c r="X52" s="304"/>
      <c r="Y52" s="304"/>
      <c r="Z52" s="304"/>
      <c r="AA52" s="304"/>
      <c r="AB52" s="304"/>
      <c r="AC52" s="303"/>
      <c r="AD52" s="304"/>
      <c r="AE52" s="304"/>
      <c r="AF52" s="304"/>
      <c r="AG52" s="304"/>
      <c r="AH52" s="304"/>
      <c r="AI52" s="304"/>
      <c r="AJ52" s="304"/>
      <c r="AK52" s="303"/>
      <c r="AL52" s="304"/>
      <c r="AM52" s="241"/>
      <c r="AO52" s="437"/>
      <c r="AP52" s="437" t="str">
        <f t="shared" si="1"/>
        <v>Добавить группу потребителей</v>
      </c>
      <c r="AQ52" s="437"/>
      <c r="AR52" s="437"/>
      <c r="AS52" s="1082">
        <v>11</v>
      </c>
    </row>
    <row r="53" spans="1:45" ht="0" hidden="1" customHeight="1">
      <c r="A53" s="1290" t="s">
        <v>233</v>
      </c>
      <c r="B53" s="1290" t="s">
        <v>234</v>
      </c>
      <c r="C53" s="1290" t="s">
        <v>235</v>
      </c>
      <c r="D53" s="1290" t="s">
        <v>236</v>
      </c>
      <c r="E53" s="2897"/>
      <c r="F53" s="2897"/>
      <c r="G53" s="2897"/>
      <c r="H53" s="2896"/>
      <c r="I53" s="1290"/>
      <c r="J53" s="1290"/>
      <c r="K53" s="1290"/>
      <c r="L53" s="1291"/>
      <c r="M53" s="1292"/>
      <c r="N53" s="1292"/>
      <c r="O53" s="474"/>
      <c r="P53" s="297"/>
      <c r="Q53" s="312"/>
      <c r="R53" s="292"/>
      <c r="S53" s="1313"/>
      <c r="T53" s="1314"/>
      <c r="U53" s="1315"/>
      <c r="V53" s="1315"/>
      <c r="W53" s="1315"/>
      <c r="X53" s="1315"/>
      <c r="Y53" s="1315"/>
      <c r="Z53" s="1315"/>
      <c r="AA53" s="1315"/>
      <c r="AB53" s="1315"/>
      <c r="AC53" s="1315"/>
      <c r="AD53" s="1315"/>
      <c r="AE53" s="1315"/>
      <c r="AF53" s="1315"/>
      <c r="AG53" s="1315"/>
      <c r="AH53" s="1315"/>
      <c r="AI53" s="1315"/>
      <c r="AJ53" s="1315"/>
      <c r="AK53" s="1315"/>
      <c r="AL53" s="1315"/>
      <c r="AM53" s="1316"/>
      <c r="AO53" s="437"/>
      <c r="AP53" s="437" t="str">
        <f t="shared" si="1"/>
        <v/>
      </c>
      <c r="AQ53" s="437"/>
      <c r="AR53" s="437"/>
      <c r="AS53" s="1082">
        <v>0</v>
      </c>
    </row>
    <row r="54" spans="1:45" s="1569" customFormat="1" ht="0" hidden="1" customHeight="1">
      <c r="A54" s="1270" t="s">
        <v>233</v>
      </c>
      <c r="B54" s="1270" t="s">
        <v>234</v>
      </c>
      <c r="C54" s="1270" t="s">
        <v>235</v>
      </c>
      <c r="D54" s="1241"/>
      <c r="E54" s="2897"/>
      <c r="F54" s="2897"/>
      <c r="G54" s="2896"/>
      <c r="H54" s="1241"/>
      <c r="I54" s="1241"/>
      <c r="J54" s="1241"/>
      <c r="K54" s="1241"/>
      <c r="L54" s="1266"/>
      <c r="M54" s="1242"/>
      <c r="N54" s="1242"/>
      <c r="P54" s="1243"/>
      <c r="Q54" s="1244"/>
      <c r="R54" s="1243"/>
      <c r="S54" s="1249"/>
      <c r="T54" s="1252" t="s">
        <v>174</v>
      </c>
      <c r="U54" s="1251"/>
      <c r="V54" s="1251"/>
      <c r="W54" s="1251"/>
      <c r="X54" s="1251"/>
      <c r="Y54" s="1251"/>
      <c r="Z54" s="1251"/>
      <c r="AA54" s="1251"/>
      <c r="AB54" s="1251"/>
      <c r="AC54" s="1251"/>
      <c r="AD54" s="1251"/>
      <c r="AE54" s="1251"/>
      <c r="AF54" s="1251"/>
      <c r="AG54" s="1251"/>
      <c r="AH54" s="1251"/>
      <c r="AI54" s="1251"/>
      <c r="AJ54" s="1251"/>
      <c r="AK54" s="1251"/>
      <c r="AL54" s="1251"/>
      <c r="AM54" s="1251"/>
      <c r="AO54" s="720"/>
      <c r="AP54" s="720" t="str">
        <f t="shared" si="1"/>
        <v>Добавить источник для дифференциации</v>
      </c>
      <c r="AQ54" s="720"/>
      <c r="AR54" s="720"/>
      <c r="AS54" s="455">
        <v>0</v>
      </c>
    </row>
    <row r="55" spans="1:45" s="1569" customFormat="1" ht="0" hidden="1" customHeight="1">
      <c r="A55" s="1270" t="s">
        <v>233</v>
      </c>
      <c r="B55" s="1270" t="s">
        <v>234</v>
      </c>
      <c r="C55" s="1241"/>
      <c r="D55" s="1241"/>
      <c r="E55" s="2897"/>
      <c r="F55" s="2896"/>
      <c r="G55" s="1241"/>
      <c r="H55" s="1241"/>
      <c r="I55" s="1241"/>
      <c r="J55" s="1241"/>
      <c r="K55" s="1241"/>
      <c r="L55" s="1266"/>
      <c r="M55" s="1248"/>
      <c r="N55" s="1248"/>
      <c r="P55" s="1243"/>
      <c r="Q55" s="1244"/>
      <c r="R55" s="1243"/>
      <c r="S55" s="1249"/>
      <c r="T55" s="1252" t="s">
        <v>176</v>
      </c>
      <c r="U55" s="1251"/>
      <c r="V55" s="1251"/>
      <c r="W55" s="1251"/>
      <c r="X55" s="1251"/>
      <c r="Y55" s="1251"/>
      <c r="Z55" s="1251"/>
      <c r="AA55" s="1251"/>
      <c r="AB55" s="1251"/>
      <c r="AC55" s="1251"/>
      <c r="AD55" s="1251"/>
      <c r="AE55" s="1251"/>
      <c r="AF55" s="1251"/>
      <c r="AG55" s="1251"/>
      <c r="AH55" s="1251"/>
      <c r="AI55" s="1251"/>
      <c r="AJ55" s="1251"/>
      <c r="AK55" s="1251"/>
      <c r="AL55" s="1251"/>
      <c r="AM55" s="1251"/>
      <c r="AO55" s="720"/>
      <c r="AP55" s="720" t="str">
        <f t="shared" si="1"/>
        <v>Добавить централизованную систему для дифференциации</v>
      </c>
      <c r="AQ55" s="720"/>
      <c r="AR55" s="720"/>
      <c r="AS55" s="455">
        <v>0</v>
      </c>
    </row>
    <row r="56" spans="1:45" s="1569" customFormat="1" ht="0" hidden="1" customHeight="1">
      <c r="A56" s="1270" t="s">
        <v>233</v>
      </c>
      <c r="B56" s="1270"/>
      <c r="C56" s="1270"/>
      <c r="D56" s="1270"/>
      <c r="E56" s="2896"/>
      <c r="F56" s="1270"/>
      <c r="G56" s="1270"/>
      <c r="H56" s="1270"/>
      <c r="I56" s="1270"/>
      <c r="J56" s="1270"/>
      <c r="K56" s="1270"/>
      <c r="L56" s="1273"/>
      <c r="M56" s="1248"/>
      <c r="N56" s="1248"/>
      <c r="O56" s="455"/>
      <c r="P56" s="317"/>
      <c r="Q56" s="1271"/>
      <c r="R56" s="317"/>
      <c r="S56" s="1249"/>
      <c r="T56" s="1252" t="s">
        <v>178</v>
      </c>
      <c r="U56" s="1251"/>
      <c r="V56" s="1251"/>
      <c r="W56" s="1251"/>
      <c r="X56" s="1251"/>
      <c r="Y56" s="1251"/>
      <c r="Z56" s="1251"/>
      <c r="AA56" s="1251"/>
      <c r="AB56" s="1251"/>
      <c r="AC56" s="1251"/>
      <c r="AD56" s="1251"/>
      <c r="AE56" s="1251"/>
      <c r="AF56" s="1251"/>
      <c r="AG56" s="1251"/>
      <c r="AH56" s="1251"/>
      <c r="AI56" s="1251"/>
      <c r="AJ56" s="1251"/>
      <c r="AK56" s="1251"/>
      <c r="AL56" s="1251"/>
      <c r="AM56" s="1251"/>
      <c r="AO56" s="437"/>
      <c r="AP56" s="437" t="str">
        <f t="shared" si="1"/>
        <v>Добавить территорию для дифференциации</v>
      </c>
      <c r="AQ56" s="437"/>
      <c r="AR56" s="437"/>
      <c r="AS56" s="448">
        <v>0</v>
      </c>
    </row>
    <row r="57" spans="1:45" s="1569" customFormat="1" ht="4.5" customHeight="1">
      <c r="A57" s="1241"/>
      <c r="B57" s="1241"/>
      <c r="C57" s="1241"/>
      <c r="D57" s="1241"/>
      <c r="E57" s="1270"/>
      <c r="F57" s="1241"/>
      <c r="G57" s="1241"/>
      <c r="H57" s="1241"/>
      <c r="I57" s="1241"/>
      <c r="J57" s="1241"/>
      <c r="K57" s="1241"/>
      <c r="L57" s="1266"/>
      <c r="M57" s="1248"/>
      <c r="N57" s="1248"/>
      <c r="P57" s="1243"/>
      <c r="Q57" s="1244"/>
      <c r="R57" s="1243"/>
      <c r="S57" s="1249"/>
      <c r="T57" s="1252" t="s">
        <v>212</v>
      </c>
      <c r="U57" s="1251"/>
      <c r="V57" s="1251"/>
      <c r="W57" s="1251"/>
      <c r="X57" s="1251"/>
      <c r="Y57" s="1251"/>
      <c r="Z57" s="1251"/>
      <c r="AA57" s="1251"/>
      <c r="AB57" s="1251"/>
      <c r="AC57" s="1251"/>
      <c r="AD57" s="1251"/>
      <c r="AE57" s="1251"/>
      <c r="AF57" s="1251"/>
      <c r="AG57" s="1251"/>
      <c r="AH57" s="1251"/>
      <c r="AI57" s="1251"/>
      <c r="AJ57" s="1251"/>
      <c r="AK57" s="1251"/>
      <c r="AL57" s="1251"/>
      <c r="AM57" s="1251"/>
      <c r="AO57" s="720"/>
      <c r="AP57" s="720" t="str">
        <f t="shared" si="1"/>
        <v>Добавить наименование тарифа</v>
      </c>
      <c r="AQ57" s="720"/>
      <c r="AR57" s="720"/>
      <c r="AS57" s="455">
        <v>4</v>
      </c>
    </row>
    <row r="58" spans="1:45" ht="11.25" customHeight="1">
      <c r="M58" s="1087"/>
      <c r="N58" s="1087"/>
      <c r="O58" s="474"/>
      <c r="P58" s="1082"/>
      <c r="Q58" s="1082"/>
      <c r="R58" s="1082"/>
      <c r="S58" s="1082"/>
      <c r="AN58" s="1082"/>
      <c r="AO58" s="1082"/>
      <c r="AP58" s="1082"/>
      <c r="AQ58" s="1082"/>
      <c r="AR58" s="1082"/>
      <c r="AS58" s="1082">
        <v>11</v>
      </c>
    </row>
    <row r="59" spans="1:45" ht="15" customHeight="1">
      <c r="O59" s="474"/>
      <c r="S59" s="1180"/>
      <c r="T59" s="2895"/>
      <c r="U59" s="2895"/>
      <c r="V59" s="2895"/>
      <c r="W59" s="2895"/>
      <c r="X59" s="2895"/>
      <c r="Y59" s="2895"/>
      <c r="Z59" s="2895"/>
      <c r="AA59" s="2895"/>
      <c r="AB59" s="2895"/>
      <c r="AC59" s="2895"/>
      <c r="AD59" s="2895"/>
      <c r="AE59" s="2895"/>
      <c r="AF59" s="2895"/>
      <c r="AG59" s="2895"/>
      <c r="AH59" s="2895"/>
      <c r="AI59" s="2895"/>
      <c r="AJ59" s="2895"/>
      <c r="AK59" s="2895"/>
      <c r="AL59" s="2895"/>
      <c r="AM59" s="2895"/>
      <c r="AS59" s="1082">
        <v>14</v>
      </c>
    </row>
    <row r="60" spans="1:45" ht="15" customHeight="1">
      <c r="O60" s="474"/>
      <c r="T60" s="2895"/>
      <c r="U60" s="2895"/>
      <c r="V60" s="2895"/>
      <c r="W60" s="2895"/>
      <c r="X60" s="2895"/>
      <c r="Y60" s="2895"/>
      <c r="Z60" s="2895"/>
      <c r="AA60" s="2895"/>
      <c r="AB60" s="2895"/>
      <c r="AC60" s="2895"/>
      <c r="AD60" s="2895"/>
      <c r="AE60" s="2895"/>
      <c r="AF60" s="2895"/>
      <c r="AG60" s="2895"/>
      <c r="AH60" s="2895"/>
      <c r="AI60" s="2895"/>
      <c r="AJ60" s="2895"/>
      <c r="AK60" s="2895"/>
      <c r="AL60" s="2895"/>
      <c r="AM60" s="2895"/>
      <c r="AS60" s="1082">
        <v>14</v>
      </c>
    </row>
    <row r="61" spans="1:45" ht="15" customHeight="1">
      <c r="O61" s="474"/>
      <c r="T61" s="2895"/>
      <c r="U61" s="2895"/>
      <c r="V61" s="2895"/>
      <c r="W61" s="2895"/>
      <c r="X61" s="2895"/>
      <c r="Y61" s="2895"/>
      <c r="Z61" s="2895"/>
      <c r="AA61" s="2895"/>
      <c r="AB61" s="2895"/>
      <c r="AC61" s="2895"/>
      <c r="AD61" s="2895"/>
      <c r="AE61" s="2895"/>
      <c r="AF61" s="2895"/>
      <c r="AG61" s="2895"/>
      <c r="AH61" s="2895"/>
      <c r="AI61" s="2895"/>
      <c r="AJ61" s="2895"/>
      <c r="AK61" s="2895"/>
      <c r="AL61" s="2895"/>
      <c r="AM61" s="2895"/>
      <c r="AS61" s="1082">
        <v>14</v>
      </c>
    </row>
    <row r="62" spans="1:45" ht="15" customHeight="1">
      <c r="O62" s="474"/>
      <c r="AS62" s="1082">
        <v>14</v>
      </c>
    </row>
    <row r="63" spans="1:45" ht="15" customHeight="1">
      <c r="O63" s="474"/>
      <c r="S63" s="1180"/>
      <c r="T63" s="2798"/>
      <c r="U63" s="2895"/>
      <c r="V63" s="2895"/>
      <c r="W63" s="2895"/>
      <c r="X63" s="2895"/>
      <c r="Y63" s="2895"/>
      <c r="Z63" s="2895"/>
      <c r="AA63" s="2895"/>
      <c r="AB63" s="2895"/>
      <c r="AC63" s="2895"/>
      <c r="AD63" s="2895"/>
      <c r="AE63" s="2895"/>
      <c r="AF63" s="2895"/>
      <c r="AG63" s="2895"/>
      <c r="AH63" s="2895"/>
      <c r="AI63" s="2895"/>
      <c r="AJ63" s="2895"/>
      <c r="AK63" s="2895"/>
      <c r="AL63" s="2895"/>
      <c r="AM63" s="2895"/>
      <c r="AS63" s="1082">
        <v>14</v>
      </c>
    </row>
    <row r="64" spans="1:45" ht="15" customHeight="1">
      <c r="O64" s="474"/>
      <c r="T64" s="2895"/>
      <c r="U64" s="2895"/>
      <c r="V64" s="2895"/>
      <c r="W64" s="2895"/>
      <c r="X64" s="2895"/>
      <c r="Y64" s="2895"/>
      <c r="Z64" s="2895"/>
      <c r="AA64" s="2895"/>
      <c r="AB64" s="2895"/>
      <c r="AC64" s="2895"/>
      <c r="AD64" s="2895"/>
      <c r="AE64" s="2895"/>
      <c r="AF64" s="2895"/>
      <c r="AG64" s="2895"/>
      <c r="AH64" s="2895"/>
      <c r="AI64" s="2895"/>
      <c r="AJ64" s="2895"/>
      <c r="AK64" s="2895"/>
      <c r="AL64" s="2895"/>
      <c r="AM64" s="2895"/>
      <c r="AS64" s="1082">
        <v>14</v>
      </c>
    </row>
    <row r="65" spans="1:45" ht="15" customHeight="1">
      <c r="T65" s="2895"/>
      <c r="U65" s="2895"/>
      <c r="V65" s="2895"/>
      <c r="W65" s="2895"/>
      <c r="X65" s="2895"/>
      <c r="Y65" s="2895"/>
      <c r="Z65" s="2895"/>
      <c r="AA65" s="2895"/>
      <c r="AB65" s="2895"/>
      <c r="AC65" s="2895"/>
      <c r="AD65" s="2895"/>
      <c r="AE65" s="2895"/>
      <c r="AF65" s="2895"/>
      <c r="AG65" s="2895"/>
      <c r="AH65" s="2895"/>
      <c r="AI65" s="2895"/>
      <c r="AJ65" s="2895"/>
      <c r="AK65" s="2895"/>
      <c r="AL65" s="2895"/>
      <c r="AM65" s="2895"/>
      <c r="AS65" s="1082">
        <v>14</v>
      </c>
    </row>
    <row r="66" spans="1:45" ht="22.5" hidden="1" customHeight="1">
      <c r="A66" s="1087" t="s">
        <v>87</v>
      </c>
      <c r="B66" s="1087">
        <v>0</v>
      </c>
      <c r="C66" s="1087">
        <v>0</v>
      </c>
      <c r="D66" s="1087">
        <v>0</v>
      </c>
      <c r="E66" s="1087">
        <v>0</v>
      </c>
      <c r="F66" s="1087">
        <v>0</v>
      </c>
      <c r="G66" s="1087">
        <v>0</v>
      </c>
      <c r="H66" s="1087">
        <v>0</v>
      </c>
      <c r="I66" s="1087">
        <v>0</v>
      </c>
      <c r="J66" s="1087">
        <v>0</v>
      </c>
      <c r="K66" s="1087">
        <v>0</v>
      </c>
      <c r="L66" s="1256">
        <v>0</v>
      </c>
      <c r="M66" s="1289">
        <v>0</v>
      </c>
      <c r="N66" s="1289">
        <v>0</v>
      </c>
      <c r="O66" s="1289">
        <v>0</v>
      </c>
      <c r="P66" s="1255">
        <v>0</v>
      </c>
      <c r="Q66" s="282">
        <v>3</v>
      </c>
      <c r="R66" s="282">
        <v>3</v>
      </c>
      <c r="S66" s="518">
        <v>12</v>
      </c>
      <c r="T66" s="1082">
        <v>31</v>
      </c>
      <c r="U66" s="1082">
        <v>0</v>
      </c>
      <c r="V66" s="1082">
        <v>0</v>
      </c>
      <c r="W66" s="1082">
        <v>0</v>
      </c>
      <c r="X66" s="1082">
        <v>0</v>
      </c>
      <c r="Y66" s="1082">
        <v>0</v>
      </c>
      <c r="Z66" s="1082">
        <v>0</v>
      </c>
      <c r="AA66" s="1082">
        <v>0</v>
      </c>
      <c r="AB66" s="1082">
        <v>0</v>
      </c>
      <c r="AC66" s="1082">
        <v>0</v>
      </c>
      <c r="AD66" s="1082">
        <v>24</v>
      </c>
      <c r="AE66" s="1082">
        <v>0</v>
      </c>
      <c r="AF66" s="1082">
        <v>24</v>
      </c>
      <c r="AG66" s="1082">
        <v>24</v>
      </c>
      <c r="AH66" s="1082">
        <v>11</v>
      </c>
      <c r="AI66" s="1082">
        <v>3</v>
      </c>
      <c r="AJ66" s="1082">
        <v>11</v>
      </c>
      <c r="AK66" s="1082">
        <v>0</v>
      </c>
      <c r="AL66" s="1082">
        <v>4</v>
      </c>
      <c r="AM66" s="1082">
        <v>115</v>
      </c>
      <c r="AN66" s="448">
        <v>10</v>
      </c>
      <c r="AO66" s="448">
        <v>10</v>
      </c>
      <c r="AP66" s="448">
        <v>10</v>
      </c>
      <c r="AQ66" s="448">
        <v>10</v>
      </c>
      <c r="AR66" s="448">
        <v>10</v>
      </c>
      <c r="AS66" s="1082">
        <v>23</v>
      </c>
    </row>
  </sheetData>
  <sheetProtection formatColumns="0" formatRows="0" insertRows="0" deleteColumns="0" deleteRows="0" sort="0" autoFilter="0"/>
  <mergeCells count="113">
    <mergeCell ref="S26:AJ26"/>
    <mergeCell ref="E2:E15"/>
    <mergeCell ref="V2:AC2"/>
    <mergeCell ref="AD2:AL2"/>
    <mergeCell ref="F3:F14"/>
    <mergeCell ref="V3:AC3"/>
    <mergeCell ref="AD3:AL3"/>
    <mergeCell ref="G4:G13"/>
    <mergeCell ref="V4:AC4"/>
    <mergeCell ref="AD4:AL4"/>
    <mergeCell ref="H5:H12"/>
    <mergeCell ref="V5:AC5"/>
    <mergeCell ref="AD5:AL5"/>
    <mergeCell ref="I6:I11"/>
    <mergeCell ref="P6:P11"/>
    <mergeCell ref="V6:AC6"/>
    <mergeCell ref="AD6:AL6"/>
    <mergeCell ref="AM8:AM10"/>
    <mergeCell ref="AH17:AH18"/>
    <mergeCell ref="AI17:AI18"/>
    <mergeCell ref="AJ17:AJ18"/>
    <mergeCell ref="AK17:AK18"/>
    <mergeCell ref="J7:J10"/>
    <mergeCell ref="Q7:Q10"/>
    <mergeCell ref="V7:AC7"/>
    <mergeCell ref="AD7:AL7"/>
    <mergeCell ref="K8:K9"/>
    <mergeCell ref="Z8:Z9"/>
    <mergeCell ref="AA8:AA9"/>
    <mergeCell ref="AB8:AB9"/>
    <mergeCell ref="AC8:AC9"/>
    <mergeCell ref="AH8:AH9"/>
    <mergeCell ref="AI8:AI9"/>
    <mergeCell ref="AJ8:AJ9"/>
    <mergeCell ref="AK8:AK9"/>
    <mergeCell ref="S31:T31"/>
    <mergeCell ref="V31:AB31"/>
    <mergeCell ref="AD31:AJ31"/>
    <mergeCell ref="S32:T32"/>
    <mergeCell ref="V32:AB32"/>
    <mergeCell ref="AD32:AJ32"/>
    <mergeCell ref="S27:AJ27"/>
    <mergeCell ref="S29:T29"/>
    <mergeCell ref="V29:AB29"/>
    <mergeCell ref="AD29:AJ29"/>
    <mergeCell ref="S30:T30"/>
    <mergeCell ref="V30:AB30"/>
    <mergeCell ref="AD30:AJ30"/>
    <mergeCell ref="S38:AL38"/>
    <mergeCell ref="AM38:AM41"/>
    <mergeCell ref="S39:S41"/>
    <mergeCell ref="T39:T41"/>
    <mergeCell ref="V39:AB39"/>
    <mergeCell ref="AC39:AC41"/>
    <mergeCell ref="AD39:AJ39"/>
    <mergeCell ref="AK39:AK41"/>
    <mergeCell ref="AL39:AL41"/>
    <mergeCell ref="V40:V41"/>
    <mergeCell ref="W40:W41"/>
    <mergeCell ref="X40:Y40"/>
    <mergeCell ref="Z40:AB40"/>
    <mergeCell ref="AD40:AD41"/>
    <mergeCell ref="AI41:AJ41"/>
    <mergeCell ref="AH40:AJ40"/>
    <mergeCell ref="AA41:AB41"/>
    <mergeCell ref="E43:E56"/>
    <mergeCell ref="V43:AC43"/>
    <mergeCell ref="AD43:AL43"/>
    <mergeCell ref="F44:F55"/>
    <mergeCell ref="V44:AC44"/>
    <mergeCell ref="AD44:AL44"/>
    <mergeCell ref="G45:G54"/>
    <mergeCell ref="V45:AC45"/>
    <mergeCell ref="AD45:AL45"/>
    <mergeCell ref="H46:H53"/>
    <mergeCell ref="V46:AC46"/>
    <mergeCell ref="AD46:AL46"/>
    <mergeCell ref="I47:I52"/>
    <mergeCell ref="P47:P52"/>
    <mergeCell ref="J48:J51"/>
    <mergeCell ref="Q48:Q51"/>
    <mergeCell ref="V48:AC48"/>
    <mergeCell ref="AD48:AL48"/>
    <mergeCell ref="K49:K50"/>
    <mergeCell ref="Z49:Z50"/>
    <mergeCell ref="AA49:AA50"/>
    <mergeCell ref="AB49:AB50"/>
    <mergeCell ref="AC49:AC50"/>
    <mergeCell ref="AH49:AH50"/>
    <mergeCell ref="V37:AC37"/>
    <mergeCell ref="AD37:AK37"/>
    <mergeCell ref="AI49:AI50"/>
    <mergeCell ref="AJ49:AJ50"/>
    <mergeCell ref="AK49:AK50"/>
    <mergeCell ref="T65:AM65"/>
    <mergeCell ref="S34:T34"/>
    <mergeCell ref="V34:AB34"/>
    <mergeCell ref="AD34:AJ34"/>
    <mergeCell ref="S35:T35"/>
    <mergeCell ref="V35:AB35"/>
    <mergeCell ref="AD35:AJ35"/>
    <mergeCell ref="T63:AM63"/>
    <mergeCell ref="T64:AM64"/>
    <mergeCell ref="AM49:AM51"/>
    <mergeCell ref="T59:AM59"/>
    <mergeCell ref="T60:AM60"/>
    <mergeCell ref="T61:AM61"/>
    <mergeCell ref="V47:AC47"/>
    <mergeCell ref="AD47:AL47"/>
    <mergeCell ref="AA42:AB42"/>
    <mergeCell ref="AI42:AJ42"/>
    <mergeCell ref="AE40:AE41"/>
    <mergeCell ref="AF40:AG40"/>
  </mergeCells>
  <dataValidations count="8">
    <dataValidation allowBlank="1" sqref="S131123:AM131129 S196659:AM196665 S262195:AM262201 S327731:AM327737 S393267:AM393273 S458803:AM458809 S524339:AM524345 S589875:AM589881 S655411:AM655417 S720947:AM720953 S786483:AM786489 S852019:AM852025 S917555:AM917561 S983091:AM983097 S65587:AM65593"/>
    <dataValidation type="list" allowBlank="1" showInputMessage="1" showErrorMessage="1" errorTitle="Ошибка" error="Выберите значение из списка" sqref="V983087:W983087 V65583:W65583 V131119:W131119 V196655:W196655 V262191:W262191 V327727:W327727 V393263:W393263 V458799:W458799 V524335:W524335 V589871:W589871 V655407:W655407 V720943:W720943 V786479:W786479 V852015:W852015 V917551:W917551 AD983087:AE983087 AD65583:AE65583 AD131119:AE131119 AD196655:AE196655 AD262191:AE262191 AD327727:AE327727 AD393263:AE393263 AD458799:AE458799 AD524335:AE524335 AD589871:AE589871 AD655407:AE655407 AD720943:AE720943 AD786479:AE786479 AD852015:AE852015 AD917551:AE917551">
      <formula1>kind_of_scheme_in</formula1>
    </dataValidation>
    <dataValidation type="list" allowBlank="1" showInputMessage="1" errorTitle="Ошибка" error="Выберите значение из списка" prompt="Выберите значение из списка" sqref="V983088:AL983088 V65584:AL65584 V131120:AL131120 V196656:AL196656 V262192:AL262192 V327728:AL327728 V393264:AL393264 V458800:AL458800 V524336:AL524336 V589872:AL589872 V655408:AL655408 V720944:AL720944 V786480:AL786480 V852016:AL852016 V917552:AL917552">
      <formula1>kind_of_cons</formula1>
    </dataValidation>
    <dataValidation type="textLength" operator="lessThanOrEqual" allowBlank="1" showInputMessage="1" showErrorMessage="1" errorTitle="Ошибка" error="Допускается ввод не более 900 символов!" sqref="AM65579:AM65586 AM131115:AM131122 AM196651:AM196658 AM262187:AM262194 AM327723:AM327730 AM393259:AM393266 AM458795:AM458802 AM524331:AM524338 AM589867:AM589874 AM655403:AM655410 AM720939:AM720946 AM786475:AM786482 AM852011:AM852018 AM917547:AM917554 AM983083:AM983090">
      <formula1>900</formula1>
    </dataValidation>
    <dataValidation type="list" allowBlank="1" showInputMessage="1" showErrorMessage="1" errorTitle="Ошибка" error="Выберите значение из списка" sqref="T65585 T131121 T196657 T262193 T327729 T393265 T458801 T524337 T589873 T655409 T720945 T786481 T852017 T917553 T983089">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5 Z131121 Z196657 Z262193 Z327729 Z393265 Z458801 Z524337 Z589873 Z655409 Z720945 Z786481 Z852017 Z917553 Z983089 AB65585 AB131121 AB196657 AB262193 AB327729 AB393265 AB458801 AB524337 AB589873 AB655409 AB720945 AB786481 AB852017 AB917553 AB983089 Z8 AH65585 AH131121 AH196657 AH262193 AH327729 AH393265 AH458801 AH524337 AH589873 AH655409 AH720945 AH786481 AH852017 AH917553 AH983089 AJ65585 AJ131121 AJ196657 AJ262193 AJ327729 AJ393265 AJ458801 AJ524337 AJ589873 AJ655409 AJ720945 AJ786481 AJ852017 AJ917553 AJ983089 AJ49 AH49 AH8 AJ8 AB8 AH17 AJ17 Z49 AB49"/>
    <dataValidation allowBlank="1" promptTitle="checkPeriodRange" sqref="Y65586 Y131122 Y196658 Y262194 Y327730 Y393266 Y458802 Y524338 Y589874 Y655410 Y720946 Y786482 Y852018 Y917554 Y983090 Y9 AG65586 AG131122 AG196658 AG262194 AG327730 AG393266 AG458802 AG524338 AG589874 AG655410 AG720946 AG786482 AG852018 AG917554 AG983090 AG9 AG50 AG18 Y50"/>
    <dataValidation allowBlank="1" showInputMessage="1" showErrorMessage="1" prompt="Для выбора выполните двойной щелчок левой клавиши мыши по соответствующей ячейке." sqref="AA65585 AA131121 AA196657 AA262193 AA327729 AA393265 AA458801 AA524337 AA589873 AA655409 AA720945 AA786481 AA852017 AA917553 AA983089 AC131121 AC458801 AC196657 AC262193 AC327729 AC393265 AC524337 AC589873 AC655409 AC720945 AC786481 AC852017 AC917553 AC983089 AC65585 AI65585 AI131121 AI196657 AI262193 AI327729 AI393265 AI458801 AI524337 AI589873 AI655409 AI720945 AI786481 AI852017 AI917553 AI983089 AK393265 AK49 AK524337 AK8 AK589873 AK655409 AK17 AK720945 AK786481 AK852017 AK917553 AK983089 AK65585 AK131121 AK458801 AI49 AK196657 AI8 AC8 AA8 AI17 AK262193 AA49 AC49 AK327729"/>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W72"/>
  <sheetViews>
    <sheetView showGridLines="0" zoomScale="90" workbookViewId="0">
      <pane xSplit="32" ySplit="48" topLeftCell="AG49" activePane="bottomRight" state="frozen"/>
      <selection pane="topRight" activeCell="AG1" sqref="AG1"/>
      <selection pane="bottomLeft" activeCell="A49" sqref="A49"/>
      <selection pane="bottomRight"/>
    </sheetView>
  </sheetViews>
  <sheetFormatPr defaultColWidth="10.5703125" defaultRowHeight="14.25" customHeight="1"/>
  <cols>
    <col min="1" max="1" width="10.5703125" style="1562" hidden="1"/>
    <col min="2" max="2" width="11" style="1562" hidden="1" customWidth="1"/>
    <col min="3" max="3" width="10.5703125" style="1562" hidden="1"/>
    <col min="4" max="4" width="11.85546875" style="1562" hidden="1" customWidth="1"/>
    <col min="5" max="5" width="10" style="1562" hidden="1" customWidth="1"/>
    <col min="6" max="6" width="8.7109375" style="1562" hidden="1" customWidth="1"/>
    <col min="7" max="7" width="7.5703125" style="1562" hidden="1" customWidth="1"/>
    <col min="8" max="8" width="11.42578125" style="1562" hidden="1" customWidth="1"/>
    <col min="9" max="9" width="12" style="1562" hidden="1" customWidth="1"/>
    <col min="10" max="10" width="9.85546875" style="1562" hidden="1" customWidth="1"/>
    <col min="11" max="12" width="11.42578125" style="1562" hidden="1" customWidth="1"/>
    <col min="13" max="13" width="19.140625" style="2000" hidden="1" customWidth="1"/>
    <col min="14" max="15" width="12.28515625" style="2007" hidden="1" customWidth="1"/>
    <col min="16" max="16" width="23.42578125" style="2007" hidden="1" customWidth="1"/>
    <col min="17" max="17" width="3.7109375" style="2007" hidden="1" customWidth="1"/>
    <col min="18" max="20" width="3" style="282" customWidth="1"/>
    <col min="21" max="21" width="12" style="2008" customWidth="1"/>
    <col min="22" max="22" width="31" style="1562" customWidth="1"/>
    <col min="23" max="23" width="0.140625" style="1562" customWidth="1"/>
    <col min="24" max="28" width="21.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21.7109375" style="1562" customWidth="1"/>
    <col min="34" max="37" width="21" style="1562" customWidth="1"/>
    <col min="38" max="38" width="11" style="1562" customWidth="1"/>
    <col min="39" max="39" width="3.7109375" style="1562" customWidth="1"/>
    <col min="40" max="40" width="11" style="1562" customWidth="1"/>
    <col min="41" max="41" width="8.5703125" style="1562" hidden="1" customWidth="1"/>
    <col min="42" max="42" width="4" style="1562" customWidth="1"/>
    <col min="43" max="43" width="115" style="1562" customWidth="1"/>
    <col min="44" max="48" width="10" style="1569" customWidth="1"/>
    <col min="49" max="49" width="10.5703125" style="1562" hidden="1"/>
  </cols>
  <sheetData>
    <row r="1" spans="1:49" ht="22.5" hidden="1" customHeight="1">
      <c r="AB1" s="265"/>
      <c r="AC1" s="265"/>
      <c r="AK1" s="265"/>
      <c r="AL1" s="265"/>
      <c r="AW1" s="1082" t="s">
        <v>14</v>
      </c>
    </row>
    <row r="2" spans="1:49" ht="21" hidden="1" customHeight="1">
      <c r="A2" s="1194"/>
      <c r="B2" s="1194"/>
      <c r="C2" s="1194"/>
      <c r="D2" s="1194"/>
      <c r="E2" s="2923">
        <v>1</v>
      </c>
      <c r="F2" s="1194"/>
      <c r="G2" s="1194"/>
      <c r="H2" s="1194"/>
      <c r="I2" s="1194"/>
      <c r="J2" s="1194"/>
      <c r="K2" s="1194"/>
      <c r="L2" s="1194"/>
      <c r="M2" s="1237"/>
      <c r="N2" s="625"/>
      <c r="O2" s="625"/>
      <c r="P2" s="625"/>
      <c r="Q2" s="298"/>
      <c r="R2" s="297"/>
      <c r="S2" s="297"/>
      <c r="T2" s="292"/>
      <c r="U2" s="1263" t="e">
        <f>INDEX(PT_DIFFERENTIATION_NUM_NTAR,MATCH(A2,PT_DIFFERENTIATION_NTAR_ID,0))</f>
        <v>#N/A</v>
      </c>
      <c r="V2" s="236" t="s">
        <v>128</v>
      </c>
      <c r="W2" s="238"/>
      <c r="X2" s="2890"/>
      <c r="Y2" s="2891"/>
      <c r="Z2" s="2891"/>
      <c r="AA2" s="2891"/>
      <c r="AB2" s="2891"/>
      <c r="AC2" s="2891"/>
      <c r="AD2" s="2891"/>
      <c r="AE2" s="2891"/>
      <c r="AF2" s="2892"/>
      <c r="AG2" s="2890" t="e">
        <f>INDEX(PT_DIFFERENTIATION_NTAR,MATCH(A2,PT_DIFFERENTIATION_NTAR_ID,0))</f>
        <v>#N/A</v>
      </c>
      <c r="AH2" s="2891"/>
      <c r="AI2" s="2891"/>
      <c r="AJ2" s="2891"/>
      <c r="AK2" s="2891"/>
      <c r="AL2" s="2891"/>
      <c r="AM2" s="2891"/>
      <c r="AN2" s="2891"/>
      <c r="AO2" s="2891"/>
      <c r="AP2" s="2892"/>
      <c r="AQ2" s="1185" t="s">
        <v>441</v>
      </c>
      <c r="AS2" s="437"/>
      <c r="AT2" s="437" t="str">
        <f t="shared" ref="AT2:AT8" si="0">IF(V2="","",V2)</f>
        <v>Наименование тарифа</v>
      </c>
      <c r="AU2" s="437"/>
      <c r="AV2" s="437"/>
      <c r="AW2" s="1082">
        <v>0</v>
      </c>
    </row>
    <row r="3" spans="1:49" ht="21" hidden="1" customHeight="1">
      <c r="A3" s="1194"/>
      <c r="B3" s="1194"/>
      <c r="C3" s="1194"/>
      <c r="D3" s="1194"/>
      <c r="E3" s="2924"/>
      <c r="F3" s="2923">
        <v>1</v>
      </c>
      <c r="G3" s="1194"/>
      <c r="H3" s="1194"/>
      <c r="I3" s="1194"/>
      <c r="J3" s="1194"/>
      <c r="K3" s="1194"/>
      <c r="L3" s="1194"/>
      <c r="M3" s="1237"/>
      <c r="N3" s="625"/>
      <c r="O3" s="625"/>
      <c r="P3" s="625"/>
      <c r="Q3" s="1259"/>
      <c r="R3" s="289"/>
      <c r="S3" s="446"/>
      <c r="T3" s="290"/>
      <c r="U3" s="1263" t="e">
        <f>INDEX(PT_DIFFERENTIATION_NUM_TER,MATCH(B3,PT_DIFFERENTIATION_TER_ID,0))</f>
        <v>#N/A</v>
      </c>
      <c r="V3" s="246" t="s">
        <v>442</v>
      </c>
      <c r="W3" s="238"/>
      <c r="X3" s="2890"/>
      <c r="Y3" s="2891"/>
      <c r="Z3" s="2891"/>
      <c r="AA3" s="2891"/>
      <c r="AB3" s="2891"/>
      <c r="AC3" s="2891"/>
      <c r="AD3" s="2891"/>
      <c r="AE3" s="2891"/>
      <c r="AF3" s="2892"/>
      <c r="AG3" s="2890" t="e">
        <f>INDEX(PT_DIFFERENTIATION_TER,MATCH(B3,PT_DIFFERENTIATION_TER_ID,0))</f>
        <v>#N/A</v>
      </c>
      <c r="AH3" s="2891"/>
      <c r="AI3" s="2891"/>
      <c r="AJ3" s="2891"/>
      <c r="AK3" s="2891"/>
      <c r="AL3" s="2891"/>
      <c r="AM3" s="2891"/>
      <c r="AN3" s="2891"/>
      <c r="AO3" s="2891"/>
      <c r="AP3" s="2892"/>
      <c r="AQ3" s="1185" t="s">
        <v>443</v>
      </c>
      <c r="AS3" s="437"/>
      <c r="AT3" s="437" t="str">
        <f t="shared" si="0"/>
        <v>Территория действия тарифа</v>
      </c>
      <c r="AU3" s="437"/>
      <c r="AV3" s="437"/>
      <c r="AW3" s="1082">
        <v>0</v>
      </c>
    </row>
    <row r="4" spans="1:49" ht="22.5" hidden="1" customHeight="1">
      <c r="A4" s="1194"/>
      <c r="B4" s="1194"/>
      <c r="C4" s="1194"/>
      <c r="D4" s="1194"/>
      <c r="E4" s="2924"/>
      <c r="F4" s="2924"/>
      <c r="G4" s="2923">
        <v>1</v>
      </c>
      <c r="H4" s="1194"/>
      <c r="I4" s="1194"/>
      <c r="J4" s="1194"/>
      <c r="K4" s="1194"/>
      <c r="L4" s="1194"/>
      <c r="M4" s="1237"/>
      <c r="N4" s="625"/>
      <c r="O4" s="625"/>
      <c r="P4" s="625"/>
      <c r="Q4" s="291"/>
      <c r="R4" s="289"/>
      <c r="S4" s="446"/>
      <c r="T4" s="290"/>
      <c r="U4" s="1263" t="e">
        <f>INDEX(PT_DIFFERENTIATION_NUM_CS,MATCH(C4,PT_DIFFERENTIATION_CS_ID,0))</f>
        <v>#N/A</v>
      </c>
      <c r="V4" s="247" t="s">
        <v>444</v>
      </c>
      <c r="W4" s="238"/>
      <c r="X4" s="2890"/>
      <c r="Y4" s="2891"/>
      <c r="Z4" s="2891"/>
      <c r="AA4" s="2891"/>
      <c r="AB4" s="2891"/>
      <c r="AC4" s="2891"/>
      <c r="AD4" s="2891"/>
      <c r="AE4" s="2891"/>
      <c r="AF4" s="2892"/>
      <c r="AG4" s="2890" t="e">
        <f>INDEX(PT_DIFFERENTIATION_CS,MATCH(C4,PT_DIFFERENTIATION_CS_ID,0))</f>
        <v>#N/A</v>
      </c>
      <c r="AH4" s="2891"/>
      <c r="AI4" s="2891"/>
      <c r="AJ4" s="2891"/>
      <c r="AK4" s="2891"/>
      <c r="AL4" s="2891"/>
      <c r="AM4" s="2891"/>
      <c r="AN4" s="2891"/>
      <c r="AO4" s="2891"/>
      <c r="AP4" s="2892"/>
      <c r="AQ4" s="1185" t="s">
        <v>445</v>
      </c>
      <c r="AS4" s="437"/>
      <c r="AT4" s="437" t="str">
        <f t="shared" si="0"/>
        <v xml:space="preserve">Наименование системы теплоснабжения </v>
      </c>
      <c r="AU4" s="437"/>
      <c r="AV4" s="437"/>
      <c r="AW4" s="1082">
        <v>0</v>
      </c>
    </row>
    <row r="5" spans="1:49" ht="21" hidden="1" customHeight="1">
      <c r="A5" s="1194"/>
      <c r="B5" s="1194"/>
      <c r="C5" s="1194"/>
      <c r="D5" s="1194"/>
      <c r="E5" s="2924"/>
      <c r="F5" s="2924"/>
      <c r="G5" s="2924"/>
      <c r="H5" s="2923">
        <v>1</v>
      </c>
      <c r="I5" s="1194"/>
      <c r="J5" s="1194"/>
      <c r="K5" s="1194"/>
      <c r="L5" s="1194"/>
      <c r="M5" s="1237"/>
      <c r="N5" s="625"/>
      <c r="O5" s="625"/>
      <c r="P5" s="625"/>
      <c r="Q5" s="291"/>
      <c r="R5" s="289"/>
      <c r="S5" s="446"/>
      <c r="T5" s="290"/>
      <c r="U5" s="1263" t="e">
        <f>INDEX(PT_DIFFERENTIATION_NUM_IST_TE,MATCH(D5,PT_DIFFERENTIATION_IST_TE_ID,0))</f>
        <v>#N/A</v>
      </c>
      <c r="V5" s="248" t="s">
        <v>446</v>
      </c>
      <c r="W5" s="238"/>
      <c r="X5" s="2890"/>
      <c r="Y5" s="2891"/>
      <c r="Z5" s="2891"/>
      <c r="AA5" s="2891"/>
      <c r="AB5" s="2891"/>
      <c r="AC5" s="2891"/>
      <c r="AD5" s="2891"/>
      <c r="AE5" s="2891"/>
      <c r="AF5" s="2892"/>
      <c r="AG5" s="2890" t="e">
        <f>INDEX(PT_DIFFERENTIATION_IST_TE,MATCH(D5,PT_DIFFERENTIATION_IST_TE_ID,0))</f>
        <v>#N/A</v>
      </c>
      <c r="AH5" s="2891"/>
      <c r="AI5" s="2891"/>
      <c r="AJ5" s="2891"/>
      <c r="AK5" s="2891"/>
      <c r="AL5" s="2891"/>
      <c r="AM5" s="2891"/>
      <c r="AN5" s="2891"/>
      <c r="AO5" s="2891"/>
      <c r="AP5" s="2892"/>
      <c r="AQ5" s="1185" t="s">
        <v>447</v>
      </c>
      <c r="AS5" s="437"/>
      <c r="AT5" s="437" t="str">
        <f t="shared" si="0"/>
        <v xml:space="preserve">Источник тепловой энергии  </v>
      </c>
      <c r="AU5" s="437"/>
      <c r="AV5" s="437"/>
      <c r="AW5" s="1082">
        <v>0</v>
      </c>
    </row>
    <row r="6" spans="1:49" ht="14.25" hidden="1" customHeight="1">
      <c r="A6" s="1194"/>
      <c r="B6" s="1194"/>
      <c r="C6" s="1194"/>
      <c r="D6" s="1194"/>
      <c r="E6" s="2924"/>
      <c r="F6" s="2924"/>
      <c r="G6" s="2924"/>
      <c r="H6" s="2924"/>
      <c r="I6" s="2758" t="e">
        <f>U5&amp;".1"</f>
        <v>#N/A</v>
      </c>
      <c r="J6" s="1194"/>
      <c r="K6" s="1194"/>
      <c r="L6" s="1194"/>
      <c r="M6" s="1237" t="s">
        <v>448</v>
      </c>
      <c r="N6" s="446"/>
      <c r="Q6" s="2900">
        <v>1</v>
      </c>
      <c r="R6" s="1258"/>
      <c r="S6" s="1258"/>
      <c r="T6" s="293"/>
      <c r="U6" s="972"/>
      <c r="V6" s="1310"/>
      <c r="W6" s="1311"/>
      <c r="X6" s="2928"/>
      <c r="Y6" s="2929"/>
      <c r="Z6" s="2929"/>
      <c r="AA6" s="2929"/>
      <c r="AB6" s="2929"/>
      <c r="AC6" s="2929"/>
      <c r="AD6" s="2929"/>
      <c r="AE6" s="2929"/>
      <c r="AF6" s="2930"/>
      <c r="AG6" s="2928"/>
      <c r="AH6" s="2929"/>
      <c r="AI6" s="2929"/>
      <c r="AJ6" s="2929"/>
      <c r="AK6" s="2929"/>
      <c r="AL6" s="2929"/>
      <c r="AM6" s="2929"/>
      <c r="AN6" s="2929"/>
      <c r="AO6" s="2929"/>
      <c r="AP6" s="2930"/>
      <c r="AQ6" s="1312"/>
      <c r="AS6" s="437"/>
      <c r="AT6" s="437" t="str">
        <f t="shared" si="0"/>
        <v/>
      </c>
      <c r="AU6" s="437"/>
      <c r="AV6" s="437"/>
      <c r="AW6" s="1082">
        <v>0</v>
      </c>
    </row>
    <row r="7" spans="1:49" ht="21" hidden="1" customHeight="1">
      <c r="A7" s="1194"/>
      <c r="B7" s="1194"/>
      <c r="C7" s="1194"/>
      <c r="D7" s="1194"/>
      <c r="E7" s="2924"/>
      <c r="F7" s="2924"/>
      <c r="G7" s="2924"/>
      <c r="H7" s="2924"/>
      <c r="I7" s="2740"/>
      <c r="J7" s="2758" t="e">
        <f>I6&amp;".1"</f>
        <v>#N/A</v>
      </c>
      <c r="K7" s="1194"/>
      <c r="L7" s="1194"/>
      <c r="M7" s="1237" t="s">
        <v>451</v>
      </c>
      <c r="N7" s="446"/>
      <c r="O7" s="265"/>
      <c r="Q7" s="2900"/>
      <c r="R7" s="2900">
        <v>1</v>
      </c>
      <c r="S7" s="455"/>
      <c r="T7" s="294"/>
      <c r="U7" s="1263" t="e">
        <f>$J7</f>
        <v>#N/A</v>
      </c>
      <c r="V7" s="224" t="s">
        <v>452</v>
      </c>
      <c r="W7" s="238"/>
      <c r="X7" s="2884"/>
      <c r="Y7" s="2885"/>
      <c r="Z7" s="2885"/>
      <c r="AA7" s="2885"/>
      <c r="AB7" s="2885"/>
      <c r="AC7" s="2880"/>
      <c r="AD7" s="2880"/>
      <c r="AE7" s="2880"/>
      <c r="AF7" s="2941"/>
      <c r="AG7" s="2884"/>
      <c r="AH7" s="2885"/>
      <c r="AI7" s="2885"/>
      <c r="AJ7" s="2885"/>
      <c r="AK7" s="2885"/>
      <c r="AL7" s="2885"/>
      <c r="AM7" s="2885"/>
      <c r="AN7" s="2885"/>
      <c r="AO7" s="2885"/>
      <c r="AP7" s="2886"/>
      <c r="AQ7" s="1185" t="s">
        <v>453</v>
      </c>
      <c r="AS7" s="437"/>
      <c r="AT7" s="437" t="str">
        <f t="shared" si="0"/>
        <v>Группа потребителей</v>
      </c>
      <c r="AU7" s="437"/>
      <c r="AV7" s="437"/>
      <c r="AW7" s="1082">
        <v>0</v>
      </c>
    </row>
    <row r="8" spans="1:49" ht="21" hidden="1" customHeight="1">
      <c r="A8" s="1194"/>
      <c r="B8" s="1194"/>
      <c r="C8" s="1194"/>
      <c r="D8" s="1194"/>
      <c r="E8" s="2924"/>
      <c r="F8" s="2924"/>
      <c r="G8" s="2924"/>
      <c r="H8" s="2924"/>
      <c r="I8" s="2740"/>
      <c r="J8" s="2740"/>
      <c r="K8" s="2758" t="e">
        <f>J7&amp;".1"</f>
        <v>#N/A</v>
      </c>
      <c r="L8" s="78"/>
      <c r="M8" s="1237" t="s">
        <v>454</v>
      </c>
      <c r="N8" s="446"/>
      <c r="O8" s="265"/>
      <c r="P8" s="265"/>
      <c r="Q8" s="2900"/>
      <c r="R8" s="2900"/>
      <c r="S8" s="2900">
        <v>1</v>
      </c>
      <c r="T8" s="294"/>
      <c r="U8" s="1263" t="e">
        <f>$K8</f>
        <v>#N/A</v>
      </c>
      <c r="V8" s="1274"/>
      <c r="W8" s="238"/>
      <c r="X8" s="688"/>
      <c r="Y8" s="688"/>
      <c r="Z8" s="688"/>
      <c r="AA8" s="688"/>
      <c r="AB8" s="1332"/>
      <c r="AC8" s="2901"/>
      <c r="AD8" s="2768" t="s">
        <v>71</v>
      </c>
      <c r="AE8" s="2901"/>
      <c r="AF8" s="2768" t="s">
        <v>71</v>
      </c>
      <c r="AG8" s="1334"/>
      <c r="AH8" s="688"/>
      <c r="AI8" s="688"/>
      <c r="AJ8" s="688"/>
      <c r="AK8" s="1184"/>
      <c r="AL8" s="2901"/>
      <c r="AM8" s="2768" t="s">
        <v>71</v>
      </c>
      <c r="AN8" s="2901"/>
      <c r="AO8" s="2768" t="s">
        <v>71</v>
      </c>
      <c r="AP8" s="263"/>
      <c r="AQ8" s="1234" t="s">
        <v>498</v>
      </c>
      <c r="AR8" s="448" t="e">
        <f ca="1">STRCHECKDATE(X10:AP10)</f>
        <v>#NAME?</v>
      </c>
      <c r="AS8" s="437"/>
      <c r="AT8" s="437" t="str">
        <f t="shared" si="0"/>
        <v/>
      </c>
      <c r="AU8" s="437"/>
      <c r="AV8" s="437"/>
      <c r="AW8" s="1082">
        <v>0</v>
      </c>
    </row>
    <row r="9" spans="1:49" ht="21" hidden="1" customHeight="1">
      <c r="A9" s="1194"/>
      <c r="B9" s="1194"/>
      <c r="C9" s="1194"/>
      <c r="D9" s="1194"/>
      <c r="E9" s="2924"/>
      <c r="F9" s="2924"/>
      <c r="G9" s="2924"/>
      <c r="H9" s="2924"/>
      <c r="I9" s="2740"/>
      <c r="J9" s="2740"/>
      <c r="K9" s="2740"/>
      <c r="L9" s="2758" t="e">
        <f>K8&amp;".1"</f>
        <v>#N/A</v>
      </c>
      <c r="M9" s="1237"/>
      <c r="N9" s="446"/>
      <c r="O9" s="265"/>
      <c r="P9" s="265"/>
      <c r="Q9" s="2900"/>
      <c r="R9" s="2900"/>
      <c r="S9" s="2900"/>
      <c r="T9" s="294"/>
      <c r="U9" s="1263" t="e">
        <f>$L9</f>
        <v>#N/A</v>
      </c>
      <c r="V9" s="1318"/>
      <c r="W9" s="238"/>
      <c r="X9" s="263"/>
      <c r="Y9" s="688"/>
      <c r="Z9" s="688"/>
      <c r="AA9" s="688"/>
      <c r="AB9" s="1332"/>
      <c r="AC9" s="2902"/>
      <c r="AD9" s="2768"/>
      <c r="AE9" s="2902"/>
      <c r="AF9" s="2768"/>
      <c r="AG9" s="1334"/>
      <c r="AH9" s="688"/>
      <c r="AI9" s="688"/>
      <c r="AJ9" s="688"/>
      <c r="AK9" s="1184"/>
      <c r="AL9" s="2902"/>
      <c r="AM9" s="2768"/>
      <c r="AN9" s="2902"/>
      <c r="AO9" s="2768"/>
      <c r="AP9" s="263"/>
      <c r="AQ9" s="2919" t="s">
        <v>499</v>
      </c>
      <c r="AS9" s="437"/>
      <c r="AT9" s="437"/>
      <c r="AU9" s="437"/>
      <c r="AV9" s="437"/>
      <c r="AW9" s="1082">
        <v>0</v>
      </c>
    </row>
    <row r="10" spans="1:49" ht="14.25" hidden="1" customHeight="1">
      <c r="A10" s="1194"/>
      <c r="B10" s="1194"/>
      <c r="C10" s="1194"/>
      <c r="D10" s="1194"/>
      <c r="E10" s="2924"/>
      <c r="F10" s="2924"/>
      <c r="G10" s="2924"/>
      <c r="H10" s="2924"/>
      <c r="I10" s="2740"/>
      <c r="J10" s="2740"/>
      <c r="K10" s="2740"/>
      <c r="L10" s="2758"/>
      <c r="M10" s="1237"/>
      <c r="N10" s="446"/>
      <c r="O10" s="265"/>
      <c r="P10" s="265"/>
      <c r="Q10" s="2900"/>
      <c r="R10" s="2900"/>
      <c r="S10" s="2900"/>
      <c r="T10" s="294"/>
      <c r="U10" s="1269"/>
      <c r="V10" s="238"/>
      <c r="W10" s="238"/>
      <c r="X10" s="263"/>
      <c r="Y10" s="263"/>
      <c r="Z10" s="263"/>
      <c r="AA10" s="263"/>
      <c r="AB10" s="1333" t="str">
        <f>AC8&amp;"-"&amp;AE8</f>
        <v>-</v>
      </c>
      <c r="AC10" s="2902"/>
      <c r="AD10" s="2768"/>
      <c r="AE10" s="2902"/>
      <c r="AF10" s="2768"/>
      <c r="AG10" s="1309"/>
      <c r="AH10" s="263"/>
      <c r="AI10" s="263"/>
      <c r="AJ10" s="263"/>
      <c r="AK10" s="266" t="str">
        <f>AL8&amp;"-"&amp;AN8</f>
        <v>-</v>
      </c>
      <c r="AL10" s="2902"/>
      <c r="AM10" s="2768"/>
      <c r="AN10" s="2902"/>
      <c r="AO10" s="2768"/>
      <c r="AP10" s="263"/>
      <c r="AQ10" s="2920"/>
      <c r="AS10" s="437"/>
      <c r="AT10" s="437" t="str">
        <f>IF(V10="","",V10)</f>
        <v/>
      </c>
      <c r="AU10" s="437"/>
      <c r="AV10" s="437"/>
      <c r="AW10" s="1082">
        <v>0</v>
      </c>
    </row>
    <row r="11" spans="1:49" ht="11.25" hidden="1" customHeight="1">
      <c r="A11" s="1194"/>
      <c r="B11" s="1194"/>
      <c r="C11" s="1194"/>
      <c r="D11" s="1194"/>
      <c r="E11" s="2924"/>
      <c r="F11" s="2924"/>
      <c r="G11" s="2924"/>
      <c r="H11" s="2924"/>
      <c r="I11" s="2740"/>
      <c r="J11" s="2740"/>
      <c r="K11" s="2758"/>
      <c r="L11" s="1194"/>
      <c r="M11" s="1237"/>
      <c r="N11" s="446"/>
      <c r="O11" s="265"/>
      <c r="P11" s="265"/>
      <c r="Q11" s="2900"/>
      <c r="R11" s="2900"/>
      <c r="S11" s="2900"/>
      <c r="T11" s="294"/>
      <c r="U11" s="1205"/>
      <c r="V11" s="226" t="s">
        <v>500</v>
      </c>
      <c r="W11" s="1319"/>
      <c r="X11" s="1320"/>
      <c r="Y11" s="1320"/>
      <c r="Z11" s="1320"/>
      <c r="AA11" s="1320"/>
      <c r="AB11" s="1321"/>
      <c r="AC11" s="2902"/>
      <c r="AD11" s="2768"/>
      <c r="AE11" s="2902"/>
      <c r="AF11" s="2768"/>
      <c r="AG11" s="1320"/>
      <c r="AH11" s="1320"/>
      <c r="AI11" s="1320"/>
      <c r="AJ11" s="1320"/>
      <c r="AK11" s="1321"/>
      <c r="AL11" s="2902"/>
      <c r="AM11" s="2768"/>
      <c r="AN11" s="2902"/>
      <c r="AO11" s="2768"/>
      <c r="AP11" s="1322"/>
      <c r="AQ11" s="2920"/>
      <c r="AS11" s="437"/>
      <c r="AT11" s="437"/>
      <c r="AU11" s="437"/>
      <c r="AV11" s="437"/>
      <c r="AW11" s="1082">
        <v>0</v>
      </c>
    </row>
    <row r="12" spans="1:49" ht="15" hidden="1" customHeight="1">
      <c r="A12" s="1194"/>
      <c r="B12" s="1194"/>
      <c r="C12" s="1194"/>
      <c r="D12" s="1194"/>
      <c r="E12" s="2924"/>
      <c r="F12" s="2924"/>
      <c r="G12" s="2924"/>
      <c r="H12" s="2924"/>
      <c r="I12" s="2740"/>
      <c r="J12" s="2758"/>
      <c r="K12" s="1194"/>
      <c r="L12" s="1194"/>
      <c r="M12" s="1237"/>
      <c r="N12" s="446"/>
      <c r="O12" s="265"/>
      <c r="Q12" s="2900"/>
      <c r="R12" s="2900"/>
      <c r="S12" s="1258"/>
      <c r="T12" s="293"/>
      <c r="U12" s="1205"/>
      <c r="V12" s="225" t="s">
        <v>456</v>
      </c>
      <c r="W12" s="304"/>
      <c r="X12" s="304"/>
      <c r="Y12" s="304"/>
      <c r="Z12" s="304"/>
      <c r="AA12" s="304"/>
      <c r="AB12" s="304"/>
      <c r="AC12" s="1335"/>
      <c r="AD12" s="1335"/>
      <c r="AE12" s="1335"/>
      <c r="AF12" s="1335"/>
      <c r="AG12" s="304"/>
      <c r="AH12" s="304"/>
      <c r="AI12" s="304"/>
      <c r="AJ12" s="304"/>
      <c r="AK12" s="304"/>
      <c r="AL12" s="304"/>
      <c r="AM12" s="304"/>
      <c r="AN12" s="304"/>
      <c r="AO12" s="304"/>
      <c r="AP12" s="262"/>
      <c r="AQ12" s="2921"/>
      <c r="AS12" s="437"/>
      <c r="AT12" s="437" t="str">
        <f t="shared" ref="AT12:AT17" si="1">IF(V12="","",V12)</f>
        <v>Добавить вид теплоносителя (параметры теплоносителя)</v>
      </c>
      <c r="AU12" s="437"/>
      <c r="AV12" s="437"/>
      <c r="AW12" s="1082">
        <v>0</v>
      </c>
    </row>
    <row r="13" spans="1:49" ht="11.25" hidden="1" customHeight="1">
      <c r="A13" s="1194"/>
      <c r="B13" s="1194"/>
      <c r="C13" s="1194"/>
      <c r="D13" s="1194"/>
      <c r="E13" s="2924"/>
      <c r="F13" s="2924"/>
      <c r="G13" s="2924"/>
      <c r="H13" s="2924"/>
      <c r="I13" s="2758"/>
      <c r="J13" s="1194"/>
      <c r="K13" s="1194"/>
      <c r="L13" s="1194"/>
      <c r="M13" s="1237"/>
      <c r="N13" s="446"/>
      <c r="Q13" s="2900"/>
      <c r="R13" s="1258"/>
      <c r="S13" s="1258"/>
      <c r="T13" s="293"/>
      <c r="U13" s="1205"/>
      <c r="V13" s="302" t="s">
        <v>457</v>
      </c>
      <c r="W13" s="304"/>
      <c r="X13" s="304"/>
      <c r="Y13" s="304"/>
      <c r="Z13" s="304"/>
      <c r="AA13" s="304"/>
      <c r="AB13" s="304"/>
      <c r="AC13" s="304"/>
      <c r="AD13" s="304"/>
      <c r="AE13" s="304"/>
      <c r="AF13" s="303"/>
      <c r="AG13" s="304"/>
      <c r="AH13" s="304"/>
      <c r="AI13" s="304"/>
      <c r="AJ13" s="304"/>
      <c r="AK13" s="304"/>
      <c r="AL13" s="304"/>
      <c r="AM13" s="304"/>
      <c r="AN13" s="304"/>
      <c r="AO13" s="303"/>
      <c r="AP13" s="304"/>
      <c r="AQ13" s="241"/>
      <c r="AS13" s="437"/>
      <c r="AT13" s="437" t="str">
        <f t="shared" si="1"/>
        <v>Добавить группу потребителей</v>
      </c>
      <c r="AU13" s="437"/>
      <c r="AV13" s="437"/>
      <c r="AW13" s="1082">
        <v>0</v>
      </c>
    </row>
    <row r="14" spans="1:49" ht="14.25" hidden="1" customHeight="1">
      <c r="A14" s="1194"/>
      <c r="B14" s="1194"/>
      <c r="C14" s="1194"/>
      <c r="D14" s="1194"/>
      <c r="E14" s="2924"/>
      <c r="F14" s="2924"/>
      <c r="G14" s="2924"/>
      <c r="H14" s="2923"/>
      <c r="I14" s="1194"/>
      <c r="J14" s="1194"/>
      <c r="K14" s="1194"/>
      <c r="L14" s="1194"/>
      <c r="M14" s="1237"/>
      <c r="N14" s="625"/>
      <c r="O14" s="625"/>
      <c r="P14" s="446"/>
      <c r="Q14" s="297"/>
      <c r="R14" s="312"/>
      <c r="S14" s="292"/>
      <c r="T14" s="297"/>
      <c r="U14" s="1313"/>
      <c r="V14" s="1314"/>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6"/>
      <c r="AS14" s="437"/>
      <c r="AT14" s="437" t="str">
        <f t="shared" si="1"/>
        <v/>
      </c>
      <c r="AU14" s="437"/>
      <c r="AV14" s="437"/>
      <c r="AW14" s="1082">
        <v>0</v>
      </c>
    </row>
    <row r="15" spans="1:49" s="1569" customFormat="1" ht="14.25" hidden="1" customHeight="1">
      <c r="A15" s="1301"/>
      <c r="B15" s="1301"/>
      <c r="C15" s="1301"/>
      <c r="D15" s="1301"/>
      <c r="E15" s="2924"/>
      <c r="F15" s="2924"/>
      <c r="G15" s="2923"/>
      <c r="H15" s="1301"/>
      <c r="I15" s="1301"/>
      <c r="J15" s="1301"/>
      <c r="K15" s="1301"/>
      <c r="L15" s="1301"/>
      <c r="M15" s="1304"/>
      <c r="N15" s="1305"/>
      <c r="O15" s="1305"/>
      <c r="P15" s="288"/>
      <c r="Q15" s="1243"/>
      <c r="R15" s="1244"/>
      <c r="S15" s="1243"/>
      <c r="T15" s="1243"/>
      <c r="U15" s="1245"/>
      <c r="V15" s="1246" t="s">
        <v>174</v>
      </c>
      <c r="W15" s="1247"/>
      <c r="X15" s="1247"/>
      <c r="Y15" s="1247"/>
      <c r="Z15" s="1247"/>
      <c r="AA15" s="1247"/>
      <c r="AB15" s="1247"/>
      <c r="AC15" s="1247"/>
      <c r="AD15" s="1247"/>
      <c r="AE15" s="1247"/>
      <c r="AF15" s="1247"/>
      <c r="AG15" s="1247"/>
      <c r="AH15" s="1247"/>
      <c r="AI15" s="1247"/>
      <c r="AJ15" s="1247"/>
      <c r="AK15" s="1247"/>
      <c r="AL15" s="1247"/>
      <c r="AM15" s="1247"/>
      <c r="AN15" s="1247"/>
      <c r="AO15" s="1247"/>
      <c r="AP15" s="1247"/>
      <c r="AQ15" s="1247"/>
      <c r="AS15" s="720"/>
      <c r="AT15" s="720" t="str">
        <f t="shared" si="1"/>
        <v>Добавить источник для дифференциации</v>
      </c>
      <c r="AU15" s="720"/>
      <c r="AV15" s="720"/>
      <c r="AW15" s="455">
        <v>0</v>
      </c>
    </row>
    <row r="16" spans="1:49" s="1569" customFormat="1" ht="14.25" hidden="1" customHeight="1">
      <c r="A16" s="1301"/>
      <c r="B16" s="1301"/>
      <c r="C16" s="1301"/>
      <c r="D16" s="1301"/>
      <c r="E16" s="2924"/>
      <c r="F16" s="2923"/>
      <c r="G16" s="1301"/>
      <c r="H16" s="1301"/>
      <c r="I16" s="1301"/>
      <c r="J16" s="1301"/>
      <c r="K16" s="1301"/>
      <c r="L16" s="1301"/>
      <c r="M16" s="1304"/>
      <c r="N16" s="1306"/>
      <c r="O16" s="1306"/>
      <c r="P16" s="288"/>
      <c r="Q16" s="1243"/>
      <c r="R16" s="1244"/>
      <c r="S16" s="1243"/>
      <c r="T16" s="1243"/>
      <c r="U16" s="1249"/>
      <c r="V16" s="1250" t="s">
        <v>176</v>
      </c>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S16" s="720"/>
      <c r="AT16" s="720" t="str">
        <f t="shared" si="1"/>
        <v>Добавить централизованную систему для дифференциации</v>
      </c>
      <c r="AU16" s="720"/>
      <c r="AV16" s="720"/>
      <c r="AW16" s="455">
        <v>0</v>
      </c>
    </row>
    <row r="17" spans="1:49" s="1569" customFormat="1" ht="14.25" hidden="1" customHeight="1">
      <c r="A17" s="1301"/>
      <c r="B17" s="1301"/>
      <c r="C17" s="1301"/>
      <c r="D17" s="1301"/>
      <c r="E17" s="2923"/>
      <c r="F17" s="1301"/>
      <c r="G17" s="1301"/>
      <c r="H17" s="1301"/>
      <c r="I17" s="1301"/>
      <c r="J17" s="1301"/>
      <c r="K17" s="1301"/>
      <c r="L17" s="1301"/>
      <c r="M17" s="1304"/>
      <c r="N17" s="1306"/>
      <c r="O17" s="1306"/>
      <c r="P17" s="288"/>
      <c r="Q17" s="1243"/>
      <c r="R17" s="1244"/>
      <c r="S17" s="1243"/>
      <c r="T17" s="1243"/>
      <c r="U17" s="1249"/>
      <c r="V17" s="1252" t="s">
        <v>178</v>
      </c>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S17" s="720"/>
      <c r="AT17" s="720" t="str">
        <f t="shared" si="1"/>
        <v>Добавить территорию для дифференциации</v>
      </c>
      <c r="AU17" s="720"/>
      <c r="AV17" s="720"/>
      <c r="AW17" s="455">
        <v>0</v>
      </c>
    </row>
    <row r="18" spans="1:49" ht="14.25" hidden="1" customHeight="1">
      <c r="AF18" s="265"/>
      <c r="AO18" s="265"/>
      <c r="AW18" s="1082">
        <v>0</v>
      </c>
    </row>
    <row r="19" spans="1:49" ht="14.25" hidden="1" customHeight="1">
      <c r="AG19" s="1287"/>
      <c r="AH19" s="1287"/>
      <c r="AI19" s="1287"/>
      <c r="AJ19" s="1287"/>
      <c r="AK19" s="1288"/>
      <c r="AL19" s="2894"/>
      <c r="AM19" s="2893" t="s">
        <v>71</v>
      </c>
      <c r="AN19" s="2894"/>
      <c r="AO19" s="2893" t="s">
        <v>71</v>
      </c>
      <c r="AW19" s="1082">
        <v>0</v>
      </c>
    </row>
    <row r="20" spans="1:49" ht="14.25" hidden="1" customHeight="1">
      <c r="AG20" s="1287"/>
      <c r="AH20" s="1287"/>
      <c r="AI20" s="1287"/>
      <c r="AJ20" s="1287"/>
      <c r="AK20" s="1288"/>
      <c r="AL20" s="2894"/>
      <c r="AM20" s="2893"/>
      <c r="AN20" s="2894"/>
      <c r="AO20" s="2893"/>
      <c r="AW20" s="1082">
        <v>0</v>
      </c>
    </row>
    <row r="21" spans="1:49" ht="14.25" hidden="1" customHeight="1">
      <c r="AG21" s="1287"/>
      <c r="AH21" s="1287"/>
      <c r="AI21" s="1287"/>
      <c r="AJ21" s="1287"/>
      <c r="AK21" s="1288"/>
      <c r="AL21" s="2894"/>
      <c r="AM21" s="2893"/>
      <c r="AN21" s="2894"/>
      <c r="AO21" s="2893"/>
      <c r="AW21" s="1082">
        <v>0</v>
      </c>
    </row>
    <row r="22" spans="1:49" ht="14.25" hidden="1" customHeight="1">
      <c r="AG22" s="1287"/>
      <c r="AH22" s="1287"/>
      <c r="AI22" s="1287"/>
      <c r="AJ22" s="1287"/>
      <c r="AK22" s="266" t="str">
        <f>AL19&amp;"-"&amp;AN19</f>
        <v>-</v>
      </c>
      <c r="AL22" s="2893"/>
      <c r="AM22" s="2893"/>
      <c r="AN22" s="2893"/>
      <c r="AO22" s="2893"/>
      <c r="AW22" s="1082">
        <v>0</v>
      </c>
    </row>
    <row r="23" spans="1:49" ht="14.25" hidden="1" customHeight="1">
      <c r="AO23" s="265"/>
      <c r="AW23" s="1082">
        <v>0</v>
      </c>
    </row>
    <row r="24" spans="1:49" s="1293" customFormat="1" ht="22.5" hidden="1" customHeight="1">
      <c r="A24" s="1082"/>
      <c r="B24" s="1082"/>
      <c r="C24" s="1082"/>
      <c r="D24" s="1082"/>
      <c r="E24" s="1082"/>
      <c r="F24" s="1082"/>
      <c r="G24" s="1082"/>
      <c r="H24" s="1082"/>
      <c r="I24" s="1082"/>
      <c r="J24" s="1082"/>
      <c r="K24" s="1082"/>
      <c r="L24" s="1082"/>
      <c r="M24" s="1254"/>
      <c r="N24" s="1255"/>
      <c r="O24" s="1255"/>
      <c r="P24" s="1272" t="s">
        <v>459</v>
      </c>
      <c r="Q24" s="1289"/>
      <c r="R24" s="1298"/>
      <c r="S24" s="1298"/>
      <c r="T24" s="1298"/>
      <c r="U24" s="666"/>
      <c r="AC24" s="1294"/>
      <c r="AE24" s="1294"/>
      <c r="AL24" s="1294"/>
      <c r="AN24" s="1294"/>
      <c r="AR24" s="448"/>
      <c r="AS24" s="448"/>
      <c r="AT24" s="448"/>
      <c r="AU24" s="448"/>
      <c r="AV24" s="448"/>
      <c r="AW24" s="1087">
        <v>0</v>
      </c>
    </row>
    <row r="25" spans="1:49" s="1293" customFormat="1" ht="14.25" hidden="1" customHeight="1">
      <c r="A25" s="1082"/>
      <c r="B25" s="1082"/>
      <c r="C25" s="1082"/>
      <c r="D25" s="1082"/>
      <c r="E25" s="1082"/>
      <c r="F25" s="1082"/>
      <c r="G25" s="1082"/>
      <c r="H25" s="1082"/>
      <c r="I25" s="1082"/>
      <c r="J25" s="1082"/>
      <c r="K25" s="1082"/>
      <c r="L25" s="1082"/>
      <c r="M25" s="1254"/>
      <c r="N25" s="1255"/>
      <c r="O25" s="1255"/>
      <c r="P25" s="1255"/>
      <c r="Q25" s="1289"/>
      <c r="R25" s="1298"/>
      <c r="S25" s="1298"/>
      <c r="T25" s="1298"/>
      <c r="U25" s="666"/>
      <c r="AR25" s="448"/>
      <c r="AS25" s="448"/>
      <c r="AT25" s="448"/>
      <c r="AU25" s="448"/>
      <c r="AV25" s="448"/>
      <c r="AW25" s="1087">
        <v>0</v>
      </c>
    </row>
    <row r="26" spans="1:49" s="1293" customFormat="1" ht="14.25" hidden="1" customHeight="1">
      <c r="A26" s="1082"/>
      <c r="B26" s="1082"/>
      <c r="C26" s="1082"/>
      <c r="D26" s="1082"/>
      <c r="E26" s="1082"/>
      <c r="F26" s="1082"/>
      <c r="G26" s="1082"/>
      <c r="H26" s="1082"/>
      <c r="I26" s="1082"/>
      <c r="J26" s="1082"/>
      <c r="K26" s="1082"/>
      <c r="L26" s="1082"/>
      <c r="M26" s="1254"/>
      <c r="N26" s="1255"/>
      <c r="O26" s="1255"/>
      <c r="P26" s="1237" t="s">
        <v>460</v>
      </c>
      <c r="Q26" s="1289"/>
      <c r="R26" s="1298"/>
      <c r="S26" s="1298"/>
      <c r="T26" s="1298"/>
      <c r="U26" s="666"/>
      <c r="V26" s="1087" t="s">
        <v>461</v>
      </c>
      <c r="AD26" s="124" t="s">
        <v>462</v>
      </c>
      <c r="AF26" s="124" t="s">
        <v>463</v>
      </c>
      <c r="AG26" s="1087" t="s">
        <v>461</v>
      </c>
      <c r="AM26" s="124" t="s">
        <v>464</v>
      </c>
      <c r="AO26" s="124" t="s">
        <v>463</v>
      </c>
      <c r="AR26" s="448"/>
      <c r="AS26" s="448"/>
      <c r="AT26" s="448"/>
      <c r="AU26" s="448"/>
      <c r="AV26" s="448"/>
      <c r="AW26" s="1087">
        <v>0</v>
      </c>
    </row>
    <row r="27" spans="1:49" ht="14.25" hidden="1" customHeight="1">
      <c r="P27" s="1237"/>
      <c r="AW27" s="1082">
        <v>0</v>
      </c>
    </row>
    <row r="28" spans="1:49" ht="14.25" hidden="1" customHeight="1">
      <c r="P28" s="1237"/>
      <c r="AW28" s="1082">
        <v>0</v>
      </c>
    </row>
    <row r="29" spans="1:49" ht="15" customHeight="1">
      <c r="R29" s="313"/>
      <c r="S29" s="313"/>
      <c r="T29" s="313"/>
      <c r="U29" s="1202"/>
      <c r="V29" s="300"/>
      <c r="W29" s="300"/>
      <c r="X29" s="446"/>
      <c r="Y29" s="446"/>
      <c r="Z29" s="446"/>
      <c r="AA29" s="446"/>
      <c r="AB29" s="446"/>
      <c r="AC29" s="446"/>
      <c r="AD29" s="446"/>
      <c r="AE29" s="446"/>
      <c r="AF29" s="446"/>
      <c r="AG29" s="446"/>
      <c r="AH29" s="446"/>
      <c r="AI29" s="446"/>
      <c r="AJ29" s="446"/>
      <c r="AK29" s="446"/>
      <c r="AL29" s="446"/>
      <c r="AM29" s="446"/>
      <c r="AN29" s="446"/>
      <c r="AO29" s="446"/>
      <c r="AW29" s="1082">
        <v>14</v>
      </c>
    </row>
    <row r="30" spans="1:49" ht="57" customHeight="1">
      <c r="R30" s="313"/>
      <c r="S30" s="313"/>
      <c r="T30" s="313"/>
      <c r="U30" s="2877" t="str">
        <f>IF(TEMPLATE_GROUP="P",PT_P_FORM_HEAT_6_NAME_FORM,PT_R_FORM_HEAT_23_NAME_FORM)</f>
        <v>Форма 21. Информация о предложении регулируемой организации о расчетной величине тарифов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 о расчетной величине тарифов на горячую воду, поставляемую единой теплоснабжающей организацией в ценовых зонах теплоснабжения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v>
      </c>
      <c r="V30" s="2877"/>
      <c r="W30" s="2877"/>
      <c r="X30" s="2877"/>
      <c r="Y30" s="2877"/>
      <c r="Z30" s="2877"/>
      <c r="AA30" s="2877"/>
      <c r="AB30" s="2877"/>
      <c r="AC30" s="2877"/>
      <c r="AD30" s="2877"/>
      <c r="AE30" s="2877"/>
      <c r="AF30" s="2877"/>
      <c r="AG30" s="2877"/>
      <c r="AH30" s="2877"/>
      <c r="AI30" s="2877"/>
      <c r="AJ30" s="2877"/>
      <c r="AK30" s="2877"/>
      <c r="AL30" s="2877"/>
      <c r="AM30" s="2877"/>
      <c r="AN30" s="2877"/>
      <c r="AO30" s="1170"/>
      <c r="AW30" s="1082">
        <v>54</v>
      </c>
    </row>
    <row r="31" spans="1:49" ht="15" customHeight="1">
      <c r="R31" s="313"/>
      <c r="S31" s="313"/>
      <c r="T31" s="313"/>
      <c r="U31" s="2849" t="str">
        <f>IF(org=0,"Не определено",org)</f>
        <v>ТМУП "ТТС"</v>
      </c>
      <c r="V31" s="2849"/>
      <c r="W31" s="2849"/>
      <c r="X31" s="2849"/>
      <c r="Y31" s="2849"/>
      <c r="Z31" s="2849"/>
      <c r="AA31" s="2849"/>
      <c r="AB31" s="2849"/>
      <c r="AC31" s="2849"/>
      <c r="AD31" s="2849"/>
      <c r="AE31" s="2849"/>
      <c r="AF31" s="2849"/>
      <c r="AG31" s="2849"/>
      <c r="AH31" s="2849"/>
      <c r="AI31" s="2849"/>
      <c r="AJ31" s="2849"/>
      <c r="AK31" s="2849"/>
      <c r="AL31" s="2849"/>
      <c r="AM31" s="2849"/>
      <c r="AN31" s="2849"/>
      <c r="AO31" s="1170"/>
      <c r="AW31" s="1082">
        <v>14</v>
      </c>
    </row>
    <row r="32" spans="1:49" ht="14.25" hidden="1" customHeight="1">
      <c r="R32" s="313"/>
      <c r="S32" s="313"/>
      <c r="T32" s="313"/>
      <c r="U32" s="1202"/>
      <c r="V32" s="300"/>
      <c r="W32" s="300"/>
      <c r="X32" s="260"/>
      <c r="Y32" s="260"/>
      <c r="Z32" s="260"/>
      <c r="AA32" s="260"/>
      <c r="AB32" s="260"/>
      <c r="AC32" s="260"/>
      <c r="AD32" s="260"/>
      <c r="AE32" s="260"/>
      <c r="AF32" s="260"/>
      <c r="AG32" s="260"/>
      <c r="AH32" s="260"/>
      <c r="AI32" s="260"/>
      <c r="AJ32" s="260"/>
      <c r="AK32" s="260"/>
      <c r="AL32" s="260"/>
      <c r="AM32" s="260"/>
      <c r="AN32" s="260"/>
      <c r="AO32" s="260"/>
      <c r="AP32" s="446"/>
      <c r="AW32" s="1082">
        <v>0</v>
      </c>
    </row>
    <row r="33" spans="1:49" s="1778" customFormat="1" ht="25.5" hidden="1" customHeight="1">
      <c r="A33" s="1175"/>
      <c r="B33" s="1175"/>
      <c r="C33" s="1175"/>
      <c r="D33" s="1175"/>
      <c r="E33" s="1175"/>
      <c r="F33" s="1175"/>
      <c r="G33" s="1175"/>
      <c r="H33" s="1175"/>
      <c r="I33" s="1175"/>
      <c r="J33" s="1175"/>
      <c r="K33" s="1175"/>
      <c r="L33" s="1175"/>
      <c r="M33" s="1307"/>
      <c r="N33" s="1175"/>
      <c r="O33" s="1175"/>
      <c r="P33" s="1175"/>
      <c r="U33" s="2887" t="s">
        <v>46</v>
      </c>
      <c r="V33" s="2887"/>
      <c r="W33" s="1299"/>
      <c r="X33" s="2889" t="str">
        <f>IF(TITLE_NAME_OR_PR_CHANGE="",IF(TITLE_NAME_OR_PR="","",TITLE_NAME_OR_PR),TITLE_NAME_OR_PR_CHANGE)</f>
        <v/>
      </c>
      <c r="Y33" s="2889"/>
      <c r="Z33" s="2889"/>
      <c r="AA33" s="2889"/>
      <c r="AB33" s="2889"/>
      <c r="AC33" s="2889"/>
      <c r="AD33" s="2889"/>
      <c r="AE33" s="2889"/>
      <c r="AF33" s="264"/>
      <c r="AG33" s="2889" t="str">
        <f>IF(TITLE_NAME_OR_PR_CHANGE="",IF(TITLE_NAME_OR_PR="","",TITLE_NAME_OR_PR),TITLE_NAME_OR_PR_CHANGE)</f>
        <v/>
      </c>
      <c r="AH33" s="2889"/>
      <c r="AI33" s="2889"/>
      <c r="AJ33" s="2889"/>
      <c r="AK33" s="2889"/>
      <c r="AL33" s="2889"/>
      <c r="AM33" s="2889"/>
      <c r="AN33" s="2889"/>
      <c r="AO33" s="264"/>
      <c r="AP33" s="264"/>
      <c r="AQ33" s="218"/>
      <c r="AR33" s="305"/>
      <c r="AS33" s="305"/>
      <c r="AT33" s="305"/>
      <c r="AU33" s="305"/>
      <c r="AV33" s="305"/>
      <c r="AW33" s="355">
        <v>0</v>
      </c>
    </row>
    <row r="34" spans="1:49" s="1778" customFormat="1" ht="18.75" hidden="1" customHeight="1">
      <c r="A34" s="1175"/>
      <c r="B34" s="1175"/>
      <c r="C34" s="1175"/>
      <c r="D34" s="1175"/>
      <c r="E34" s="1175"/>
      <c r="F34" s="1175"/>
      <c r="G34" s="1175"/>
      <c r="H34" s="1175"/>
      <c r="I34" s="1175"/>
      <c r="J34" s="1175"/>
      <c r="K34" s="1175"/>
      <c r="L34" s="1175"/>
      <c r="M34" s="1307"/>
      <c r="N34" s="1175"/>
      <c r="O34" s="1175"/>
      <c r="P34" s="1175"/>
      <c r="U34" s="2887" t="s">
        <v>465</v>
      </c>
      <c r="V34" s="2887"/>
      <c r="W34" s="1299"/>
      <c r="X34" s="2888" t="str">
        <f>IF(TITLE_DATE_PR_CHANGE="",IF(TITLE_DATE_PR="","",TITLE_DATE_PR),TITLE_DATE_PR_CHANGE)</f>
        <v>14.11.2024</v>
      </c>
      <c r="Y34" s="2888"/>
      <c r="Z34" s="2888"/>
      <c r="AA34" s="2888"/>
      <c r="AB34" s="2888"/>
      <c r="AC34" s="2888"/>
      <c r="AD34" s="2888"/>
      <c r="AE34" s="2888"/>
      <c r="AF34" s="264"/>
      <c r="AG34" s="2888" t="str">
        <f>IF(TITLE_DATE_PR_CHANGE="",IF(TITLE_DATE_PR="","",TITLE_DATE_PR),TITLE_DATE_PR_CHANGE)</f>
        <v>14.11.2024</v>
      </c>
      <c r="AH34" s="2888"/>
      <c r="AI34" s="2888"/>
      <c r="AJ34" s="2888"/>
      <c r="AK34" s="2888"/>
      <c r="AL34" s="2888"/>
      <c r="AM34" s="2888"/>
      <c r="AN34" s="2888"/>
      <c r="AO34" s="264"/>
      <c r="AP34" s="264"/>
      <c r="AQ34" s="218"/>
      <c r="AR34" s="305"/>
      <c r="AS34" s="305"/>
      <c r="AT34" s="305"/>
      <c r="AU34" s="305"/>
      <c r="AV34" s="305"/>
      <c r="AW34" s="355">
        <v>0</v>
      </c>
    </row>
    <row r="35" spans="1:49" s="1778" customFormat="1" ht="18.75" hidden="1" customHeight="1">
      <c r="A35" s="1175"/>
      <c r="B35" s="1175"/>
      <c r="C35" s="1175"/>
      <c r="D35" s="1175"/>
      <c r="E35" s="1175"/>
      <c r="F35" s="1175"/>
      <c r="G35" s="1175"/>
      <c r="H35" s="1175"/>
      <c r="I35" s="1175"/>
      <c r="J35" s="1175"/>
      <c r="K35" s="1175"/>
      <c r="L35" s="1175"/>
      <c r="M35" s="1307"/>
      <c r="N35" s="1175"/>
      <c r="O35" s="1175"/>
      <c r="P35" s="1175"/>
      <c r="U35" s="2887" t="s">
        <v>466</v>
      </c>
      <c r="V35" s="2887"/>
      <c r="W35" s="1299"/>
      <c r="X35" s="2889" t="str">
        <f>IF(TITLE_NUMBER_PR_CHANGE="",IF(TITLE_NUMBER_PR="","",TITLE_NUMBER_PR),TITLE_NUMBER_PR_CHANGE)</f>
        <v>947 от 12.11.2024</v>
      </c>
      <c r="Y35" s="2889"/>
      <c r="Z35" s="2889"/>
      <c r="AA35" s="2889"/>
      <c r="AB35" s="2889"/>
      <c r="AC35" s="2889"/>
      <c r="AD35" s="2889"/>
      <c r="AE35" s="2889"/>
      <c r="AF35" s="264"/>
      <c r="AG35" s="2889" t="str">
        <f>IF(TITLE_NUMBER_PR_CHANGE="",IF(TITLE_NUMBER_PR="","",TITLE_NUMBER_PR),TITLE_NUMBER_PR_CHANGE)</f>
        <v>947 от 12.11.2024</v>
      </c>
      <c r="AH35" s="2889"/>
      <c r="AI35" s="2889"/>
      <c r="AJ35" s="2889"/>
      <c r="AK35" s="2889"/>
      <c r="AL35" s="2889"/>
      <c r="AM35" s="2889"/>
      <c r="AN35" s="2889"/>
      <c r="AO35" s="264"/>
      <c r="AP35" s="264"/>
      <c r="AQ35" s="218"/>
      <c r="AR35" s="305"/>
      <c r="AS35" s="305"/>
      <c r="AT35" s="305"/>
      <c r="AU35" s="305"/>
      <c r="AV35" s="305"/>
      <c r="AW35" s="355">
        <v>0</v>
      </c>
    </row>
    <row r="36" spans="1:49" s="1778" customFormat="1" ht="18.75" hidden="1" customHeight="1">
      <c r="A36" s="1175"/>
      <c r="B36" s="1175"/>
      <c r="C36" s="1175"/>
      <c r="D36" s="1175"/>
      <c r="E36" s="1175"/>
      <c r="F36" s="1175"/>
      <c r="G36" s="1175"/>
      <c r="H36" s="1175"/>
      <c r="I36" s="1175"/>
      <c r="J36" s="1175"/>
      <c r="K36" s="1175"/>
      <c r="L36" s="1175"/>
      <c r="M36" s="1307"/>
      <c r="N36" s="1175"/>
      <c r="O36" s="1175"/>
      <c r="P36" s="1175"/>
      <c r="U36" s="2887" t="s">
        <v>47</v>
      </c>
      <c r="V36" s="2887"/>
      <c r="W36" s="1299"/>
      <c r="X36" s="2889" t="str">
        <f>IF(TITLE_IST_PUB_CHANGE="",IF(TITLE_IST_PUB="","",TITLE_IST_PUB),TITLE_IST_PUB_CHANGE)</f>
        <v/>
      </c>
      <c r="Y36" s="2889"/>
      <c r="Z36" s="2889"/>
      <c r="AA36" s="2889"/>
      <c r="AB36" s="2889"/>
      <c r="AC36" s="2889"/>
      <c r="AD36" s="2889"/>
      <c r="AE36" s="2889"/>
      <c r="AF36" s="264"/>
      <c r="AG36" s="2889" t="str">
        <f>IF(TITLE_IST_PUB_CHANGE="",IF(TITLE_IST_PUB="","",TITLE_IST_PUB),TITLE_IST_PUB_CHANGE)</f>
        <v/>
      </c>
      <c r="AH36" s="2889"/>
      <c r="AI36" s="2889"/>
      <c r="AJ36" s="2889"/>
      <c r="AK36" s="2889"/>
      <c r="AL36" s="2889"/>
      <c r="AM36" s="2889"/>
      <c r="AN36" s="2889"/>
      <c r="AO36" s="264"/>
      <c r="AP36" s="264"/>
      <c r="AQ36" s="218"/>
      <c r="AR36" s="305"/>
      <c r="AS36" s="305"/>
      <c r="AT36" s="305"/>
      <c r="AU36" s="305"/>
      <c r="AV36" s="305"/>
      <c r="AW36" s="355">
        <v>0</v>
      </c>
    </row>
    <row r="37" spans="1:49" ht="14.25" customHeight="1">
      <c r="R37" s="313"/>
      <c r="S37" s="313"/>
      <c r="T37" s="313"/>
      <c r="U37" s="1202"/>
      <c r="V37" s="300"/>
      <c r="W37" s="300"/>
      <c r="X37" s="260"/>
      <c r="Y37" s="260"/>
      <c r="Z37" s="260"/>
      <c r="AA37" s="260"/>
      <c r="AB37" s="260"/>
      <c r="AC37" s="260"/>
      <c r="AD37" s="260"/>
      <c r="AE37" s="260"/>
      <c r="AF37" s="260"/>
      <c r="AG37" s="260"/>
      <c r="AH37" s="260"/>
      <c r="AI37" s="260"/>
      <c r="AJ37" s="260"/>
      <c r="AK37" s="260"/>
      <c r="AL37" s="260"/>
      <c r="AM37" s="260"/>
      <c r="AN37" s="260"/>
      <c r="AO37" s="260"/>
      <c r="AP37" s="446"/>
      <c r="AW37" s="1082">
        <v>0</v>
      </c>
    </row>
    <row r="38" spans="1:49" s="1778" customFormat="1" ht="18.75" customHeight="1">
      <c r="A38" s="1175"/>
      <c r="B38" s="1175"/>
      <c r="C38" s="1175"/>
      <c r="D38" s="1175"/>
      <c r="E38" s="1175"/>
      <c r="F38" s="1175"/>
      <c r="G38" s="1175"/>
      <c r="H38" s="1175"/>
      <c r="I38" s="1175"/>
      <c r="J38" s="1175"/>
      <c r="K38" s="1175"/>
      <c r="L38" s="1175"/>
      <c r="M38" s="1307"/>
      <c r="N38" s="1175"/>
      <c r="O38" s="1175"/>
      <c r="P38" s="1175"/>
      <c r="U38" s="2887" t="s">
        <v>467</v>
      </c>
      <c r="V38" s="2887"/>
      <c r="W38" s="1299"/>
      <c r="X38" s="2888" t="str">
        <f>IF(TITLE_DATE_PR_CHANGE="",IF(TITLE_DATE_PR="","",TITLE_DATE_PR),TITLE_DATE_PR_CHANGE)</f>
        <v>14.11.2024</v>
      </c>
      <c r="Y38" s="2888"/>
      <c r="Z38" s="2888"/>
      <c r="AA38" s="2888"/>
      <c r="AB38" s="2888"/>
      <c r="AC38" s="2888"/>
      <c r="AD38" s="2888"/>
      <c r="AE38" s="2888"/>
      <c r="AF38" s="264"/>
      <c r="AG38" s="2888" t="str">
        <f>IF(TITLE_DATE_PR_CHANGE="",IF(TITLE_DATE_PR="","",TITLE_DATE_PR),TITLE_DATE_PR_CHANGE)</f>
        <v>14.11.2024</v>
      </c>
      <c r="AH38" s="2888"/>
      <c r="AI38" s="2888"/>
      <c r="AJ38" s="2888"/>
      <c r="AK38" s="2888"/>
      <c r="AL38" s="2888"/>
      <c r="AM38" s="2888"/>
      <c r="AN38" s="2888"/>
      <c r="AO38" s="264"/>
      <c r="AP38" s="264"/>
      <c r="AQ38" s="218"/>
      <c r="AR38" s="305"/>
      <c r="AS38" s="305"/>
      <c r="AT38" s="305"/>
      <c r="AU38" s="305"/>
      <c r="AV38" s="305"/>
      <c r="AW38" s="355">
        <v>0</v>
      </c>
    </row>
    <row r="39" spans="1:49" s="1778" customFormat="1" ht="18.75" customHeight="1">
      <c r="A39" s="1175"/>
      <c r="B39" s="1175"/>
      <c r="C39" s="1175"/>
      <c r="D39" s="1175"/>
      <c r="E39" s="1175"/>
      <c r="F39" s="1175"/>
      <c r="G39" s="1175"/>
      <c r="H39" s="1175"/>
      <c r="I39" s="1175"/>
      <c r="J39" s="1175"/>
      <c r="K39" s="1175"/>
      <c r="L39" s="1175"/>
      <c r="M39" s="1307"/>
      <c r="N39" s="1175"/>
      <c r="O39" s="1175"/>
      <c r="P39" s="1175"/>
      <c r="U39" s="2887" t="s">
        <v>468</v>
      </c>
      <c r="V39" s="2887"/>
      <c r="W39" s="1299"/>
      <c r="X39" s="2889" t="str">
        <f>IF(TITLE_NUMBER_PR_CHANGE="",IF(TITLE_NUMBER_PR="","",TITLE_NUMBER_PR),TITLE_NUMBER_PR_CHANGE)</f>
        <v>947 от 12.11.2024</v>
      </c>
      <c r="Y39" s="2889"/>
      <c r="Z39" s="2889"/>
      <c r="AA39" s="2889"/>
      <c r="AB39" s="2889"/>
      <c r="AC39" s="2889"/>
      <c r="AD39" s="2889"/>
      <c r="AE39" s="2889"/>
      <c r="AF39" s="264"/>
      <c r="AG39" s="2889" t="str">
        <f>IF(TITLE_NUMBER_PR_CHANGE="",IF(TITLE_NUMBER_PR="","",TITLE_NUMBER_PR),TITLE_NUMBER_PR_CHANGE)</f>
        <v>947 от 12.11.2024</v>
      </c>
      <c r="AH39" s="2889"/>
      <c r="AI39" s="2889"/>
      <c r="AJ39" s="2889"/>
      <c r="AK39" s="2889"/>
      <c r="AL39" s="2889"/>
      <c r="AM39" s="2889"/>
      <c r="AN39" s="2889"/>
      <c r="AO39" s="264"/>
      <c r="AP39" s="264"/>
      <c r="AQ39" s="218"/>
      <c r="AR39" s="305"/>
      <c r="AS39" s="305"/>
      <c r="AT39" s="305"/>
      <c r="AU39" s="305"/>
      <c r="AV39" s="305"/>
      <c r="AW39" s="355">
        <v>0</v>
      </c>
    </row>
    <row r="40" spans="1:49" s="1778" customFormat="1" ht="0" hidden="1" customHeight="1">
      <c r="A40" s="1175"/>
      <c r="B40" s="1175"/>
      <c r="C40" s="1175"/>
      <c r="D40" s="1175"/>
      <c r="E40" s="1175"/>
      <c r="F40" s="1175"/>
      <c r="G40" s="1175"/>
      <c r="H40" s="1175"/>
      <c r="I40" s="1175"/>
      <c r="J40" s="1175"/>
      <c r="K40" s="1175"/>
      <c r="L40" s="1175"/>
      <c r="M40" s="1307"/>
      <c r="N40" s="1175"/>
      <c r="O40" s="1175"/>
      <c r="P40" s="1175"/>
      <c r="U40" s="261"/>
      <c r="V40" s="261"/>
      <c r="W40" s="1267"/>
      <c r="X40" s="264"/>
      <c r="Y40" s="264"/>
      <c r="Z40" s="264"/>
      <c r="AA40" s="264"/>
      <c r="AB40" s="264"/>
      <c r="AC40" s="264"/>
      <c r="AD40" s="264"/>
      <c r="AE40" s="264"/>
      <c r="AF40" s="216" t="s">
        <v>469</v>
      </c>
      <c r="AG40" s="264"/>
      <c r="AH40" s="264"/>
      <c r="AI40" s="264"/>
      <c r="AJ40" s="264"/>
      <c r="AK40" s="264"/>
      <c r="AL40" s="264"/>
      <c r="AM40" s="264"/>
      <c r="AN40" s="264"/>
      <c r="AO40" s="216" t="s">
        <v>469</v>
      </c>
      <c r="AR40" s="305"/>
      <c r="AS40" s="305"/>
      <c r="AT40" s="305"/>
      <c r="AU40" s="305"/>
      <c r="AV40" s="305"/>
      <c r="AW40" s="355">
        <v>0</v>
      </c>
    </row>
    <row r="41" spans="1:49" ht="15" customHeight="1">
      <c r="R41" s="313"/>
      <c r="S41" s="313"/>
      <c r="T41" s="313"/>
      <c r="U41" s="1202"/>
      <c r="V41" s="300"/>
      <c r="W41" s="1171"/>
      <c r="X41" s="2908"/>
      <c r="Y41" s="2908"/>
      <c r="Z41" s="2908"/>
      <c r="AA41" s="2908"/>
      <c r="AB41" s="2908"/>
      <c r="AC41" s="2908"/>
      <c r="AD41" s="2908"/>
      <c r="AE41" s="2908"/>
      <c r="AF41" s="2908"/>
      <c r="AG41" s="2908"/>
      <c r="AH41" s="2908"/>
      <c r="AI41" s="2908"/>
      <c r="AJ41" s="2908"/>
      <c r="AK41" s="2908"/>
      <c r="AL41" s="2908"/>
      <c r="AM41" s="2908"/>
      <c r="AN41" s="2908"/>
      <c r="AO41" s="2908"/>
      <c r="AW41" s="1082">
        <v>14</v>
      </c>
    </row>
    <row r="42" spans="1:49" ht="15" customHeight="1">
      <c r="R42" s="313"/>
      <c r="S42" s="313"/>
      <c r="T42" s="313"/>
      <c r="U42" s="2758" t="s">
        <v>345</v>
      </c>
      <c r="V42" s="2758"/>
      <c r="W42" s="2758"/>
      <c r="X42" s="2758"/>
      <c r="Y42" s="2758"/>
      <c r="Z42" s="2758"/>
      <c r="AA42" s="2758"/>
      <c r="AB42" s="2758"/>
      <c r="AC42" s="2758"/>
      <c r="AD42" s="2758"/>
      <c r="AE42" s="2758"/>
      <c r="AF42" s="2758"/>
      <c r="AG42" s="2758"/>
      <c r="AH42" s="2758"/>
      <c r="AI42" s="2758"/>
      <c r="AJ42" s="2758"/>
      <c r="AK42" s="2758"/>
      <c r="AL42" s="2758"/>
      <c r="AM42" s="2758"/>
      <c r="AN42" s="2758"/>
      <c r="AO42" s="2758"/>
      <c r="AP42" s="2758"/>
      <c r="AQ42" s="2758" t="s">
        <v>346</v>
      </c>
      <c r="AW42" s="1082">
        <v>14</v>
      </c>
    </row>
    <row r="43" spans="1:49" ht="15" customHeight="1">
      <c r="R43" s="313"/>
      <c r="S43" s="313"/>
      <c r="T43" s="313"/>
      <c r="U43" s="2909" t="s">
        <v>93</v>
      </c>
      <c r="V43" s="2857" t="s">
        <v>470</v>
      </c>
      <c r="W43" s="239"/>
      <c r="X43" s="2910" t="s">
        <v>471</v>
      </c>
      <c r="Y43" s="2927"/>
      <c r="Z43" s="2927"/>
      <c r="AA43" s="2927"/>
      <c r="AB43" s="2927"/>
      <c r="AC43" s="2911"/>
      <c r="AD43" s="2911"/>
      <c r="AE43" s="2912"/>
      <c r="AF43" s="2913" t="s">
        <v>472</v>
      </c>
      <c r="AG43" s="2910" t="s">
        <v>471</v>
      </c>
      <c r="AH43" s="2927"/>
      <c r="AI43" s="2927"/>
      <c r="AJ43" s="2927"/>
      <c r="AK43" s="2927"/>
      <c r="AL43" s="2911"/>
      <c r="AM43" s="2911"/>
      <c r="AN43" s="2912"/>
      <c r="AO43" s="2913" t="s">
        <v>473</v>
      </c>
      <c r="AP43" s="2916" t="s">
        <v>474</v>
      </c>
      <c r="AQ43" s="2758"/>
      <c r="AW43" s="1082">
        <v>14</v>
      </c>
    </row>
    <row r="44" spans="1:49" ht="36" customHeight="1">
      <c r="R44" s="313"/>
      <c r="S44" s="313"/>
      <c r="T44" s="313"/>
      <c r="U44" s="2909"/>
      <c r="V44" s="2857"/>
      <c r="W44" s="961"/>
      <c r="X44" s="2830" t="s">
        <v>501</v>
      </c>
      <c r="Y44" s="2758" t="s">
        <v>502</v>
      </c>
      <c r="Z44" s="2758"/>
      <c r="AA44" s="2758"/>
      <c r="AB44" s="2758"/>
      <c r="AC44" s="2830" t="s">
        <v>478</v>
      </c>
      <c r="AD44" s="2939"/>
      <c r="AE44" s="2831"/>
      <c r="AF44" s="2914"/>
      <c r="AG44" s="2830" t="s">
        <v>501</v>
      </c>
      <c r="AH44" s="2758" t="s">
        <v>502</v>
      </c>
      <c r="AI44" s="2758"/>
      <c r="AJ44" s="2758"/>
      <c r="AK44" s="2758"/>
      <c r="AL44" s="2830" t="s">
        <v>478</v>
      </c>
      <c r="AM44" s="2939"/>
      <c r="AN44" s="2831"/>
      <c r="AO44" s="2914"/>
      <c r="AP44" s="2917"/>
      <c r="AQ44" s="2758"/>
      <c r="AW44" s="1082">
        <v>34</v>
      </c>
    </row>
    <row r="45" spans="1:49" ht="15" customHeight="1">
      <c r="R45" s="313"/>
      <c r="S45" s="313"/>
      <c r="T45" s="313"/>
      <c r="U45" s="2909"/>
      <c r="V45" s="2857"/>
      <c r="W45" s="961"/>
      <c r="X45" s="2832"/>
      <c r="Y45" s="2863" t="s">
        <v>503</v>
      </c>
      <c r="Z45" s="2862" t="s">
        <v>504</v>
      </c>
      <c r="AA45" s="2875"/>
      <c r="AB45" s="2876"/>
      <c r="AC45" s="2835"/>
      <c r="AD45" s="2940"/>
      <c r="AE45" s="2836"/>
      <c r="AF45" s="2914"/>
      <c r="AG45" s="2832"/>
      <c r="AH45" s="2863" t="s">
        <v>503</v>
      </c>
      <c r="AI45" s="2862" t="s">
        <v>504</v>
      </c>
      <c r="AJ45" s="2875"/>
      <c r="AK45" s="2876"/>
      <c r="AL45" s="2835"/>
      <c r="AM45" s="2940"/>
      <c r="AN45" s="2836"/>
      <c r="AO45" s="2914"/>
      <c r="AP45" s="2917"/>
      <c r="AQ45" s="2758"/>
      <c r="AW45" s="1082">
        <v>14</v>
      </c>
    </row>
    <row r="46" spans="1:49" ht="27" customHeight="1">
      <c r="R46" s="313"/>
      <c r="S46" s="313"/>
      <c r="T46" s="313"/>
      <c r="U46" s="2909"/>
      <c r="V46" s="2857"/>
      <c r="W46" s="961"/>
      <c r="X46" s="2832"/>
      <c r="Y46" s="2938"/>
      <c r="Z46" s="2863" t="s">
        <v>505</v>
      </c>
      <c r="AA46" s="2862" t="s">
        <v>506</v>
      </c>
      <c r="AB46" s="2876"/>
      <c r="AC46" s="2863" t="s">
        <v>488</v>
      </c>
      <c r="AD46" s="2867" t="s">
        <v>489</v>
      </c>
      <c r="AE46" s="2865"/>
      <c r="AF46" s="2914"/>
      <c r="AG46" s="2832"/>
      <c r="AH46" s="2938"/>
      <c r="AI46" s="2863" t="s">
        <v>505</v>
      </c>
      <c r="AJ46" s="2862" t="s">
        <v>506</v>
      </c>
      <c r="AK46" s="2876"/>
      <c r="AL46" s="2863" t="s">
        <v>488</v>
      </c>
      <c r="AM46" s="2867" t="s">
        <v>489</v>
      </c>
      <c r="AN46" s="2865"/>
      <c r="AO46" s="2914"/>
      <c r="AP46" s="2917"/>
      <c r="AQ46" s="2758"/>
      <c r="AW46" s="1082">
        <v>26</v>
      </c>
    </row>
    <row r="47" spans="1:49" ht="65.25" customHeight="1">
      <c r="A47" s="1186"/>
      <c r="B47" s="1186" t="s">
        <v>140</v>
      </c>
      <c r="C47" s="1186" t="s">
        <v>141</v>
      </c>
      <c r="D47" s="1186" t="s">
        <v>142</v>
      </c>
      <c r="E47" s="1237" t="s">
        <v>479</v>
      </c>
      <c r="F47" s="1237" t="s">
        <v>480</v>
      </c>
      <c r="G47" s="1237" t="s">
        <v>481</v>
      </c>
      <c r="H47" s="1237" t="s">
        <v>482</v>
      </c>
      <c r="I47" s="1237" t="s">
        <v>483</v>
      </c>
      <c r="J47" s="1237" t="s">
        <v>484</v>
      </c>
      <c r="K47" s="1237" t="s">
        <v>485</v>
      </c>
      <c r="L47" s="1237" t="s">
        <v>507</v>
      </c>
      <c r="M47" s="1237" t="s">
        <v>460</v>
      </c>
      <c r="R47" s="313"/>
      <c r="S47" s="313"/>
      <c r="T47" s="313"/>
      <c r="U47" s="2909"/>
      <c r="V47" s="2857"/>
      <c r="W47" s="240"/>
      <c r="X47" s="2835"/>
      <c r="Y47" s="2864"/>
      <c r="Z47" s="2864"/>
      <c r="AA47" s="1149" t="s">
        <v>508</v>
      </c>
      <c r="AB47" s="1149" t="s">
        <v>509</v>
      </c>
      <c r="AC47" s="2864"/>
      <c r="AD47" s="2868"/>
      <c r="AE47" s="2866"/>
      <c r="AF47" s="2915"/>
      <c r="AG47" s="2835"/>
      <c r="AH47" s="2864"/>
      <c r="AI47" s="2864"/>
      <c r="AJ47" s="1149" t="s">
        <v>508</v>
      </c>
      <c r="AK47" s="1149" t="s">
        <v>509</v>
      </c>
      <c r="AL47" s="2864"/>
      <c r="AM47" s="2868"/>
      <c r="AN47" s="2866"/>
      <c r="AO47" s="2915"/>
      <c r="AP47" s="2918"/>
      <c r="AQ47" s="2758"/>
      <c r="AW47" s="1082">
        <v>62</v>
      </c>
    </row>
    <row r="48" spans="1:49" s="1568" customFormat="1" ht="11.25" hidden="1" customHeight="1">
      <c r="A48" s="1186"/>
      <c r="B48" s="1186"/>
      <c r="C48" s="1186"/>
      <c r="D48" s="1186"/>
      <c r="E48" s="1186"/>
      <c r="F48" s="1186"/>
      <c r="G48" s="1186"/>
      <c r="H48" s="1186"/>
      <c r="I48" s="1186"/>
      <c r="J48" s="1186"/>
      <c r="K48" s="1186"/>
      <c r="L48" s="1186"/>
      <c r="M48" s="1237"/>
      <c r="N48" s="1255"/>
      <c r="O48" s="1255"/>
      <c r="P48" s="1255"/>
      <c r="Q48" s="1173"/>
      <c r="R48" s="1174"/>
      <c r="S48" s="1181">
        <v>1</v>
      </c>
      <c r="T48" s="1181"/>
      <c r="U48" s="1204" t="s">
        <v>114</v>
      </c>
      <c r="V48" s="1182" t="s">
        <v>115</v>
      </c>
      <c r="W48" s="1172" t="str">
        <f ca="1">OFFSET(W48,0,-1)</f>
        <v>2</v>
      </c>
      <c r="X48" s="1262">
        <f ca="1">OFFSET(X48,0,-1)+1</f>
        <v>3</v>
      </c>
      <c r="Y48" s="1268"/>
      <c r="Z48" s="1268"/>
      <c r="AA48" s="1268">
        <f ca="1">OFFSET(AA48,0,-1)+1</f>
        <v>1</v>
      </c>
      <c r="AB48" s="1268">
        <f ca="1">OFFSET(AB48,0,-1)+1</f>
        <v>2</v>
      </c>
      <c r="AC48" s="1262">
        <f ca="1">OFFSET(AC48,0,-1)+1</f>
        <v>3</v>
      </c>
      <c r="AD48" s="2907">
        <f ca="1">OFFSET(AD48,0,-1)+1</f>
        <v>4</v>
      </c>
      <c r="AE48" s="2907"/>
      <c r="AF48" s="1262">
        <f ca="1">OFFSET(AF48,0,-2)+1</f>
        <v>5</v>
      </c>
      <c r="AG48" s="1262">
        <f ca="1">OFFSET(AG48,0,-1)+1</f>
        <v>6</v>
      </c>
      <c r="AH48" s="1262"/>
      <c r="AI48" s="1262"/>
      <c r="AJ48" s="1262">
        <f ca="1">OFFSET(AJ48,0,-1)+1</f>
        <v>1</v>
      </c>
      <c r="AK48" s="1262">
        <f ca="1">OFFSET(AK48,0,-1)+1</f>
        <v>2</v>
      </c>
      <c r="AL48" s="1262">
        <f ca="1">OFFSET(AL48,0,-1)+1</f>
        <v>3</v>
      </c>
      <c r="AM48" s="2907">
        <f ca="1">OFFSET(AM48,0,-1)+1</f>
        <v>4</v>
      </c>
      <c r="AN48" s="2907"/>
      <c r="AO48" s="1262">
        <f ca="1">OFFSET(AO48,0,-2)+1</f>
        <v>5</v>
      </c>
      <c r="AP48" s="1172">
        <f ca="1">OFFSET(AP48,0,-1)</f>
        <v>5</v>
      </c>
      <c r="AQ48" s="1262">
        <f ca="1">OFFSET(AQ48,0,-1)+1</f>
        <v>6</v>
      </c>
      <c r="AR48" s="448"/>
      <c r="AS48" s="448"/>
      <c r="AT48" s="448"/>
      <c r="AU48" s="448"/>
      <c r="AV48" s="448"/>
      <c r="AW48" s="433">
        <v>0</v>
      </c>
    </row>
    <row r="49" spans="1:49" ht="21.75" customHeight="1">
      <c r="A49" s="1194" t="s">
        <v>221</v>
      </c>
      <c r="B49" s="1194"/>
      <c r="C49" s="1194"/>
      <c r="D49" s="1194"/>
      <c r="E49" s="2923">
        <v>1</v>
      </c>
      <c r="F49" s="1194"/>
      <c r="G49" s="1194"/>
      <c r="H49" s="1194"/>
      <c r="I49" s="1194"/>
      <c r="J49" s="1194"/>
      <c r="K49" s="1194"/>
      <c r="L49" s="1194"/>
      <c r="M49" s="1237"/>
      <c r="N49" s="625"/>
      <c r="O49" s="625"/>
      <c r="P49" s="625"/>
      <c r="Q49" s="298"/>
      <c r="R49" s="297"/>
      <c r="S49" s="297"/>
      <c r="T49" s="292"/>
      <c r="U49" s="1263">
        <f>INDEX(PT_DIFFERENTIATION_NUM_NTAR,MATCH(A49,PT_DIFFERENTIATION_NTAR_ID,0))</f>
        <v>0</v>
      </c>
      <c r="V49" s="236" t="s">
        <v>128</v>
      </c>
      <c r="W49" s="238"/>
      <c r="X49" s="2890"/>
      <c r="Y49" s="2891"/>
      <c r="Z49" s="2891"/>
      <c r="AA49" s="2891"/>
      <c r="AB49" s="2891"/>
      <c r="AC49" s="2891"/>
      <c r="AD49" s="2891"/>
      <c r="AE49" s="2891"/>
      <c r="AF49" s="2892"/>
      <c r="AG49" s="2890" t="str">
        <f>INDEX(PT_DIFFERENTIATION_NTAR,MATCH(A49,PT_DIFFERENTIATION_NTAR_ID,0))</f>
        <v/>
      </c>
      <c r="AH49" s="2891"/>
      <c r="AI49" s="2891"/>
      <c r="AJ49" s="2891"/>
      <c r="AK49" s="2891"/>
      <c r="AL49" s="2891"/>
      <c r="AM49" s="2891"/>
      <c r="AN49" s="2891"/>
      <c r="AO49" s="2891"/>
      <c r="AP49" s="2892"/>
      <c r="AQ49"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 N 190-ФЗ ""О теплоснабжении"", "&amp;"теплоснабжающей организации, теплосетевой организации в ценовых зонах теплоснабжения. "&amp;"При размещении информации по данной форме дополнительно указываются: наименование органа тарифного регулирования, принявшего решение об установлении цены (тарифа) в сфере теплоснабжения, реквизиты"&amp;" (дата и номер) решения об установлении цены (тарифа), источник официального опубликования решения об установлении цены (тарифа) в сфере теплоснабжения.","В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теплоснабжения"&amp;" (горячего водоснабжения), установленных в виде формулы двухкомпонентного тарифа "&amp;"с использованием компонента на теплоноситель и компонента на тепловую энергию, в том числе о числовых значениях компонентов указанного тарифа. "&amp;"В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"&amp;"Федерального закона от 27 июля 2010 г.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В соответствии с данной формой раскрывается в том числе информация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 В соответствии с данной формой раскрывается в том числе информация о тарифах на товары (услуги) в сфере теплоснабжения в случаях, указанных частях 12 1 - 12 4 статьи 10 Федерального закона от 27 июля 2010 г. N 190-ФЗ "О теплоснабжении", теплоснабжающей организации, теплосетевой организации в ценовых зонах теплоснабжения.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S49" s="437"/>
      <c r="AT49" s="437" t="str">
        <f t="shared" ref="AT49:AT65" si="2">IF(V49="","",V49)</f>
        <v>Наименование тарифа</v>
      </c>
      <c r="AU49" s="437"/>
      <c r="AV49" s="437"/>
      <c r="AW49" s="1082">
        <v>21</v>
      </c>
    </row>
    <row r="50" spans="1:49" ht="21.75" customHeight="1">
      <c r="A50" s="1194" t="s">
        <v>221</v>
      </c>
      <c r="B50" s="1194" t="s">
        <v>222</v>
      </c>
      <c r="C50" s="1194"/>
      <c r="D50" s="1194"/>
      <c r="E50" s="2924"/>
      <c r="F50" s="2923">
        <v>1</v>
      </c>
      <c r="G50" s="1194"/>
      <c r="H50" s="1194"/>
      <c r="I50" s="1194"/>
      <c r="J50" s="1194"/>
      <c r="K50" s="1194"/>
      <c r="L50" s="1194"/>
      <c r="M50" s="1237"/>
      <c r="N50" s="625"/>
      <c r="O50" s="625"/>
      <c r="P50" s="625"/>
      <c r="Q50" s="1259"/>
      <c r="R50" s="289"/>
      <c r="S50" s="446"/>
      <c r="T50" s="290"/>
      <c r="U50" s="1263" t="str">
        <f>INDEX(PT_DIFFERENTIATION_NUM_TER,MATCH(B50,PT_DIFFERENTIATION_TER_ID,0))</f>
        <v>.</v>
      </c>
      <c r="V50" s="246" t="s">
        <v>442</v>
      </c>
      <c r="W50" s="238"/>
      <c r="X50" s="2890"/>
      <c r="Y50" s="2891"/>
      <c r="Z50" s="2891"/>
      <c r="AA50" s="2891"/>
      <c r="AB50" s="2891"/>
      <c r="AC50" s="2891"/>
      <c r="AD50" s="2891"/>
      <c r="AE50" s="2891"/>
      <c r="AF50" s="2892"/>
      <c r="AG50" s="2890" t="str">
        <f>INDEX(PT_DIFFERENTIATION_TER,MATCH(B50,PT_DIFFERENTIATION_TER_ID,0))</f>
        <v/>
      </c>
      <c r="AH50" s="2891"/>
      <c r="AI50" s="2891"/>
      <c r="AJ50" s="2891"/>
      <c r="AK50" s="2891"/>
      <c r="AL50" s="2891"/>
      <c r="AM50" s="2891"/>
      <c r="AN50" s="2891"/>
      <c r="AO50" s="2891"/>
      <c r="AP50" s="2892"/>
      <c r="AQ50" s="1185" t="s">
        <v>443</v>
      </c>
      <c r="AS50" s="437"/>
      <c r="AT50" s="437" t="str">
        <f t="shared" si="2"/>
        <v>Территория действия тарифа</v>
      </c>
      <c r="AU50" s="437"/>
      <c r="AV50" s="437"/>
      <c r="AW50" s="1082">
        <v>21</v>
      </c>
    </row>
    <row r="51" spans="1:49" ht="24" customHeight="1">
      <c r="A51" s="1194" t="s">
        <v>221</v>
      </c>
      <c r="B51" s="1194" t="s">
        <v>222</v>
      </c>
      <c r="C51" s="1194" t="s">
        <v>223</v>
      </c>
      <c r="D51" s="1194"/>
      <c r="E51" s="2924"/>
      <c r="F51" s="2924"/>
      <c r="G51" s="2923">
        <v>1</v>
      </c>
      <c r="H51" s="1194"/>
      <c r="I51" s="1194"/>
      <c r="J51" s="1194"/>
      <c r="K51" s="1194"/>
      <c r="L51" s="1194"/>
      <c r="M51" s="1237"/>
      <c r="N51" s="625"/>
      <c r="O51" s="625"/>
      <c r="P51" s="625"/>
      <c r="Q51" s="291"/>
      <c r="R51" s="289"/>
      <c r="S51" s="446"/>
      <c r="T51" s="290"/>
      <c r="U51" s="1263" t="str">
        <f>INDEX(PT_DIFFERENTIATION_NUM_CS,MATCH(C51,PT_DIFFERENTIATION_CS_ID,0))</f>
        <v>..</v>
      </c>
      <c r="V51" s="247" t="s">
        <v>444</v>
      </c>
      <c r="W51" s="238"/>
      <c r="X51" s="2890"/>
      <c r="Y51" s="2891"/>
      <c r="Z51" s="2891"/>
      <c r="AA51" s="2891"/>
      <c r="AB51" s="2891"/>
      <c r="AC51" s="2891"/>
      <c r="AD51" s="2891"/>
      <c r="AE51" s="2891"/>
      <c r="AF51" s="2892"/>
      <c r="AG51" s="2890" t="str">
        <f>INDEX(PT_DIFFERENTIATION_CS,MATCH(C51,PT_DIFFERENTIATION_CS_ID,0))</f>
        <v/>
      </c>
      <c r="AH51" s="2891"/>
      <c r="AI51" s="2891"/>
      <c r="AJ51" s="2891"/>
      <c r="AK51" s="2891"/>
      <c r="AL51" s="2891"/>
      <c r="AM51" s="2891"/>
      <c r="AN51" s="2891"/>
      <c r="AO51" s="2891"/>
      <c r="AP51" s="2892"/>
      <c r="AQ51" s="1185" t="s">
        <v>445</v>
      </c>
      <c r="AS51" s="437"/>
      <c r="AT51" s="437" t="str">
        <f t="shared" si="2"/>
        <v xml:space="preserve">Наименование системы теплоснабжения </v>
      </c>
      <c r="AU51" s="437"/>
      <c r="AV51" s="437"/>
      <c r="AW51" s="1082">
        <v>23</v>
      </c>
    </row>
    <row r="52" spans="1:49" ht="21.75" customHeight="1">
      <c r="A52" s="1194" t="s">
        <v>221</v>
      </c>
      <c r="B52" s="1194" t="s">
        <v>222</v>
      </c>
      <c r="C52" s="1194" t="s">
        <v>223</v>
      </c>
      <c r="D52" s="1194" t="s">
        <v>224</v>
      </c>
      <c r="E52" s="2924"/>
      <c r="F52" s="2924"/>
      <c r="G52" s="2924"/>
      <c r="H52" s="2923">
        <v>1</v>
      </c>
      <c r="I52" s="1194"/>
      <c r="J52" s="1194"/>
      <c r="K52" s="1194"/>
      <c r="L52" s="1194"/>
      <c r="M52" s="1237"/>
      <c r="N52" s="625"/>
      <c r="O52" s="625"/>
      <c r="P52" s="625"/>
      <c r="Q52" s="291"/>
      <c r="R52" s="289"/>
      <c r="S52" s="446"/>
      <c r="T52" s="290"/>
      <c r="U52" s="1263" t="str">
        <f>INDEX(PT_DIFFERENTIATION_NUM_IST_TE,MATCH(D52,PT_DIFFERENTIATION_IST_TE_ID,0))</f>
        <v>...</v>
      </c>
      <c r="V52" s="248" t="s">
        <v>446</v>
      </c>
      <c r="W52" s="238"/>
      <c r="X52" s="2890"/>
      <c r="Y52" s="2891"/>
      <c r="Z52" s="2891"/>
      <c r="AA52" s="2891"/>
      <c r="AB52" s="2891"/>
      <c r="AC52" s="2891"/>
      <c r="AD52" s="2891"/>
      <c r="AE52" s="2891"/>
      <c r="AF52" s="2892"/>
      <c r="AG52" s="2890" t="str">
        <f>INDEX(PT_DIFFERENTIATION_IST_TE,MATCH(D52,PT_DIFFERENTIATION_IST_TE_ID,0))</f>
        <v/>
      </c>
      <c r="AH52" s="2891"/>
      <c r="AI52" s="2891"/>
      <c r="AJ52" s="2891"/>
      <c r="AK52" s="2891"/>
      <c r="AL52" s="2891"/>
      <c r="AM52" s="2891"/>
      <c r="AN52" s="2891"/>
      <c r="AO52" s="2891"/>
      <c r="AP52" s="2892"/>
      <c r="AQ52" s="1185" t="s">
        <v>447</v>
      </c>
      <c r="AS52" s="437"/>
      <c r="AT52" s="437" t="str">
        <f t="shared" si="2"/>
        <v xml:space="preserve">Источник тепловой энергии  </v>
      </c>
      <c r="AU52" s="437"/>
      <c r="AV52" s="437"/>
      <c r="AW52" s="1082">
        <v>21</v>
      </c>
    </row>
    <row r="53" spans="1:49" s="1569" customFormat="1" ht="0" hidden="1" customHeight="1">
      <c r="A53" s="1302" t="s">
        <v>221</v>
      </c>
      <c r="B53" s="1302" t="s">
        <v>222</v>
      </c>
      <c r="C53" s="1302" t="s">
        <v>223</v>
      </c>
      <c r="D53" s="1302" t="s">
        <v>224</v>
      </c>
      <c r="E53" s="2924"/>
      <c r="F53" s="2924"/>
      <c r="G53" s="2924"/>
      <c r="H53" s="2924"/>
      <c r="I53" s="2758" t="str">
        <f>U52&amp;".1"</f>
        <v>....1</v>
      </c>
      <c r="J53" s="1302"/>
      <c r="K53" s="1302"/>
      <c r="L53" s="1302"/>
      <c r="M53" s="1308" t="s">
        <v>448</v>
      </c>
      <c r="N53" s="1173"/>
      <c r="O53" s="1173"/>
      <c r="P53" s="1173"/>
      <c r="Q53" s="2900">
        <v>1</v>
      </c>
      <c r="R53" s="1258"/>
      <c r="S53" s="1258"/>
      <c r="T53" s="293"/>
      <c r="U53" s="972"/>
      <c r="V53" s="1310"/>
      <c r="W53" s="1311"/>
      <c r="X53" s="2928"/>
      <c r="Y53" s="2929"/>
      <c r="Z53" s="2929"/>
      <c r="AA53" s="2929"/>
      <c r="AB53" s="2929"/>
      <c r="AC53" s="2929"/>
      <c r="AD53" s="2929"/>
      <c r="AE53" s="2929"/>
      <c r="AF53" s="2930"/>
      <c r="AG53" s="2928"/>
      <c r="AH53" s="2929"/>
      <c r="AI53" s="2929"/>
      <c r="AJ53" s="2929"/>
      <c r="AK53" s="2929"/>
      <c r="AL53" s="2929"/>
      <c r="AM53" s="2929"/>
      <c r="AN53" s="2929"/>
      <c r="AO53" s="2929"/>
      <c r="AP53" s="2930"/>
      <c r="AQ53" s="1312"/>
      <c r="AS53" s="437"/>
      <c r="AT53" s="437" t="str">
        <f t="shared" si="2"/>
        <v/>
      </c>
      <c r="AU53" s="437"/>
      <c r="AV53" s="437"/>
      <c r="AW53" s="448">
        <v>0</v>
      </c>
    </row>
    <row r="54" spans="1:49" ht="21.75" customHeight="1">
      <c r="A54" s="1194" t="s">
        <v>221</v>
      </c>
      <c r="B54" s="1194" t="s">
        <v>222</v>
      </c>
      <c r="C54" s="1194" t="s">
        <v>223</v>
      </c>
      <c r="D54" s="1194" t="s">
        <v>224</v>
      </c>
      <c r="E54" s="2924"/>
      <c r="F54" s="2924"/>
      <c r="G54" s="2924"/>
      <c r="H54" s="2924"/>
      <c r="I54" s="2740"/>
      <c r="J54" s="2758" t="str">
        <f>I53&amp;".1"</f>
        <v>....1.1</v>
      </c>
      <c r="K54" s="1194"/>
      <c r="L54" s="1194"/>
      <c r="M54" s="1237" t="s">
        <v>451</v>
      </c>
      <c r="Q54" s="2900"/>
      <c r="R54" s="2900">
        <v>1</v>
      </c>
      <c r="S54" s="455"/>
      <c r="T54" s="294"/>
      <c r="U54" s="1263" t="str">
        <f>$J54</f>
        <v>....1.1</v>
      </c>
      <c r="V54" s="224" t="s">
        <v>452</v>
      </c>
      <c r="W54" s="238"/>
      <c r="X54" s="2884"/>
      <c r="Y54" s="2885"/>
      <c r="Z54" s="2885"/>
      <c r="AA54" s="2885"/>
      <c r="AB54" s="2885"/>
      <c r="AC54" s="2880"/>
      <c r="AD54" s="2880"/>
      <c r="AE54" s="2880"/>
      <c r="AF54" s="2941"/>
      <c r="AG54" s="2884"/>
      <c r="AH54" s="2885"/>
      <c r="AI54" s="2885"/>
      <c r="AJ54" s="2885"/>
      <c r="AK54" s="2885"/>
      <c r="AL54" s="2885"/>
      <c r="AM54" s="2885"/>
      <c r="AN54" s="2885"/>
      <c r="AO54" s="2885"/>
      <c r="AP54" s="2886"/>
      <c r="AQ54" s="1185" t="s">
        <v>453</v>
      </c>
      <c r="AS54" s="437"/>
      <c r="AT54" s="437" t="str">
        <f t="shared" si="2"/>
        <v>Группа потребителей</v>
      </c>
      <c r="AU54" s="437"/>
      <c r="AV54" s="437"/>
      <c r="AW54" s="1082">
        <v>21</v>
      </c>
    </row>
    <row r="55" spans="1:49" ht="21.75" customHeight="1">
      <c r="A55" s="1194" t="s">
        <v>221</v>
      </c>
      <c r="B55" s="1194" t="s">
        <v>222</v>
      </c>
      <c r="C55" s="1194" t="s">
        <v>223</v>
      </c>
      <c r="D55" s="1194" t="s">
        <v>224</v>
      </c>
      <c r="E55" s="2924"/>
      <c r="F55" s="2924"/>
      <c r="G55" s="2924"/>
      <c r="H55" s="2924"/>
      <c r="I55" s="2740"/>
      <c r="J55" s="2740"/>
      <c r="K55" s="2758" t="str">
        <f>J54&amp;".1"</f>
        <v>....1.1.1</v>
      </c>
      <c r="L55" s="78"/>
      <c r="M55" s="1237" t="s">
        <v>454</v>
      </c>
      <c r="Q55" s="2900"/>
      <c r="R55" s="2900"/>
      <c r="S55" s="455">
        <v>1</v>
      </c>
      <c r="T55" s="294"/>
      <c r="U55" s="1263" t="str">
        <f>$K55</f>
        <v>....1.1.1</v>
      </c>
      <c r="V55" s="1274"/>
      <c r="W55" s="238"/>
      <c r="X55" s="688"/>
      <c r="Y55" s="688"/>
      <c r="Z55" s="688"/>
      <c r="AA55" s="688"/>
      <c r="AB55" s="1332"/>
      <c r="AC55" s="2901"/>
      <c r="AD55" s="2768" t="s">
        <v>71</v>
      </c>
      <c r="AE55" s="2901"/>
      <c r="AF55" s="2768" t="s">
        <v>71</v>
      </c>
      <c r="AG55" s="1334"/>
      <c r="AH55" s="688"/>
      <c r="AI55" s="688"/>
      <c r="AJ55" s="688"/>
      <c r="AK55" s="1184"/>
      <c r="AL55" s="2901"/>
      <c r="AM55" s="2768" t="s">
        <v>71</v>
      </c>
      <c r="AN55" s="2901"/>
      <c r="AO55" s="2768" t="s">
        <v>71</v>
      </c>
      <c r="AP55" s="1275"/>
      <c r="AQ55" s="1234" t="s">
        <v>498</v>
      </c>
      <c r="AR55" s="448" t="e">
        <f ca="1">STRCHECKDATE(X57:AP57)</f>
        <v>#NAME?</v>
      </c>
      <c r="AS55" s="437"/>
      <c r="AT55" s="437" t="str">
        <f t="shared" si="2"/>
        <v/>
      </c>
      <c r="AU55" s="437"/>
      <c r="AV55" s="437"/>
      <c r="AW55" s="1082">
        <v>21</v>
      </c>
    </row>
    <row r="56" spans="1:49" ht="11.25" customHeight="1">
      <c r="A56" s="1194" t="s">
        <v>221</v>
      </c>
      <c r="B56" s="1194" t="s">
        <v>222</v>
      </c>
      <c r="C56" s="1194" t="s">
        <v>223</v>
      </c>
      <c r="D56" s="1194" t="s">
        <v>224</v>
      </c>
      <c r="E56" s="2924"/>
      <c r="F56" s="2924"/>
      <c r="G56" s="2924"/>
      <c r="H56" s="2924"/>
      <c r="I56" s="2740"/>
      <c r="J56" s="2740"/>
      <c r="K56" s="2740"/>
      <c r="L56" s="2758" t="str">
        <f>K55&amp;".1"</f>
        <v>....1.1.1.1</v>
      </c>
      <c r="M56" s="1237"/>
      <c r="Q56" s="2900"/>
      <c r="R56" s="2900"/>
      <c r="S56" s="455">
        <v>1</v>
      </c>
      <c r="T56" s="294"/>
      <c r="U56" s="1263" t="str">
        <f>$L56</f>
        <v>....1.1.1.1</v>
      </c>
      <c r="V56" s="1318"/>
      <c r="W56" s="238"/>
      <c r="X56" s="263"/>
      <c r="Y56" s="688"/>
      <c r="Z56" s="688"/>
      <c r="AA56" s="688"/>
      <c r="AB56" s="1332"/>
      <c r="AC56" s="2902"/>
      <c r="AD56" s="2768"/>
      <c r="AE56" s="2902"/>
      <c r="AF56" s="2768"/>
      <c r="AG56" s="1334"/>
      <c r="AH56" s="688"/>
      <c r="AI56" s="688"/>
      <c r="AJ56" s="688"/>
      <c r="AK56" s="1184"/>
      <c r="AL56" s="2902"/>
      <c r="AM56" s="2768"/>
      <c r="AN56" s="2902"/>
      <c r="AO56" s="2768"/>
      <c r="AP56" s="1275"/>
      <c r="AQ56" s="2919" t="s">
        <v>499</v>
      </c>
      <c r="AR56" s="448" t="e">
        <f ca="1">STRCHECKDATE(X58:AP58)</f>
        <v>#NAME?</v>
      </c>
      <c r="AS56" s="437"/>
      <c r="AT56" s="437" t="str">
        <f t="shared" si="2"/>
        <v/>
      </c>
      <c r="AU56" s="437"/>
      <c r="AV56" s="437"/>
      <c r="AW56" s="1082">
        <v>11</v>
      </c>
    </row>
    <row r="57" spans="1:49" ht="0" hidden="1" customHeight="1">
      <c r="A57" s="1194" t="s">
        <v>221</v>
      </c>
      <c r="B57" s="1194" t="s">
        <v>222</v>
      </c>
      <c r="C57" s="1194" t="s">
        <v>223</v>
      </c>
      <c r="D57" s="1194" t="s">
        <v>224</v>
      </c>
      <c r="E57" s="2924"/>
      <c r="F57" s="2924"/>
      <c r="G57" s="2924"/>
      <c r="H57" s="2924"/>
      <c r="I57" s="2740"/>
      <c r="J57" s="2740"/>
      <c r="K57" s="2740"/>
      <c r="L57" s="2758"/>
      <c r="M57" s="1237"/>
      <c r="Q57" s="2900"/>
      <c r="R57" s="2900"/>
      <c r="S57" s="455"/>
      <c r="T57" s="294"/>
      <c r="U57" s="1269"/>
      <c r="V57" s="238"/>
      <c r="W57" s="238"/>
      <c r="X57" s="263"/>
      <c r="Y57" s="263"/>
      <c r="Z57" s="263"/>
      <c r="AA57" s="263"/>
      <c r="AB57" s="1333" t="str">
        <f>AC55&amp;"-"&amp;AE55</f>
        <v>-</v>
      </c>
      <c r="AC57" s="2902"/>
      <c r="AD57" s="2768"/>
      <c r="AE57" s="2902"/>
      <c r="AF57" s="2768"/>
      <c r="AG57" s="1309"/>
      <c r="AH57" s="263"/>
      <c r="AI57" s="263"/>
      <c r="AJ57" s="263"/>
      <c r="AK57" s="266" t="str">
        <f>AL55&amp;"-"&amp;AN55</f>
        <v>-</v>
      </c>
      <c r="AL57" s="2902"/>
      <c r="AM57" s="2768"/>
      <c r="AN57" s="2902"/>
      <c r="AO57" s="2768"/>
      <c r="AP57" s="1276"/>
      <c r="AQ57" s="2920"/>
      <c r="AS57" s="437"/>
      <c r="AT57" s="437" t="str">
        <f t="shared" si="2"/>
        <v/>
      </c>
      <c r="AU57" s="437"/>
      <c r="AV57" s="437"/>
      <c r="AW57" s="1082">
        <v>0</v>
      </c>
    </row>
    <row r="58" spans="1:49" ht="11.25" customHeight="1">
      <c r="A58" s="1194" t="s">
        <v>221</v>
      </c>
      <c r="B58" s="1194" t="s">
        <v>222</v>
      </c>
      <c r="C58" s="1194" t="s">
        <v>223</v>
      </c>
      <c r="D58" s="1194" t="s">
        <v>224</v>
      </c>
      <c r="E58" s="2924"/>
      <c r="F58" s="2924"/>
      <c r="G58" s="2924"/>
      <c r="H58" s="2924"/>
      <c r="I58" s="2740"/>
      <c r="J58" s="2740"/>
      <c r="K58" s="2758"/>
      <c r="L58" s="1194"/>
      <c r="M58" s="1237"/>
      <c r="Q58" s="2900"/>
      <c r="R58" s="2900"/>
      <c r="S58" s="1258"/>
      <c r="T58" s="293"/>
      <c r="U58" s="1205"/>
      <c r="V58" s="226" t="s">
        <v>500</v>
      </c>
      <c r="W58" s="304"/>
      <c r="X58" s="304"/>
      <c r="Y58" s="304"/>
      <c r="Z58" s="304"/>
      <c r="AA58" s="304"/>
      <c r="AB58" s="304"/>
      <c r="AC58" s="2902"/>
      <c r="AD58" s="2768"/>
      <c r="AE58" s="2902"/>
      <c r="AF58" s="2768"/>
      <c r="AG58" s="304"/>
      <c r="AH58" s="304"/>
      <c r="AI58" s="304"/>
      <c r="AJ58" s="304"/>
      <c r="AK58" s="304"/>
      <c r="AL58" s="2902"/>
      <c r="AM58" s="2768"/>
      <c r="AN58" s="2902"/>
      <c r="AO58" s="2768"/>
      <c r="AP58" s="262"/>
      <c r="AQ58" s="2920"/>
      <c r="AS58" s="437"/>
      <c r="AT58" s="437" t="str">
        <f t="shared" si="2"/>
        <v>Добавить наименование поставщика</v>
      </c>
      <c r="AU58" s="437"/>
      <c r="AV58" s="437"/>
      <c r="AW58" s="1082">
        <v>11</v>
      </c>
    </row>
    <row r="59" spans="1:49" ht="11.25" customHeight="1">
      <c r="A59" s="1194" t="s">
        <v>221</v>
      </c>
      <c r="B59" s="1194" t="s">
        <v>222</v>
      </c>
      <c r="C59" s="1194" t="s">
        <v>223</v>
      </c>
      <c r="D59" s="1194" t="s">
        <v>224</v>
      </c>
      <c r="E59" s="2924"/>
      <c r="F59" s="2924"/>
      <c r="G59" s="2924"/>
      <c r="H59" s="2924"/>
      <c r="I59" s="2740"/>
      <c r="J59" s="2758"/>
      <c r="K59" s="1194"/>
      <c r="L59" s="1194"/>
      <c r="M59" s="1237"/>
      <c r="Q59" s="2900"/>
      <c r="R59" s="2900"/>
      <c r="S59" s="1258"/>
      <c r="T59" s="293"/>
      <c r="U59" s="1205"/>
      <c r="V59" s="225" t="s">
        <v>456</v>
      </c>
      <c r="W59" s="304"/>
      <c r="X59" s="304"/>
      <c r="Y59" s="304"/>
      <c r="Z59" s="304"/>
      <c r="AA59" s="304"/>
      <c r="AB59" s="304"/>
      <c r="AC59" s="1335"/>
      <c r="AD59" s="1335"/>
      <c r="AE59" s="1335"/>
      <c r="AF59" s="1335"/>
      <c r="AG59" s="304"/>
      <c r="AH59" s="304"/>
      <c r="AI59" s="304"/>
      <c r="AJ59" s="304"/>
      <c r="AK59" s="304"/>
      <c r="AL59" s="304"/>
      <c r="AM59" s="304"/>
      <c r="AN59" s="304"/>
      <c r="AO59" s="304"/>
      <c r="AP59" s="262"/>
      <c r="AQ59" s="2921"/>
      <c r="AS59" s="437"/>
      <c r="AT59" s="437" t="str">
        <f t="shared" si="2"/>
        <v>Добавить вид теплоносителя (параметры теплоносителя)</v>
      </c>
      <c r="AU59" s="437"/>
      <c r="AV59" s="437"/>
      <c r="AW59" s="1082">
        <v>11</v>
      </c>
    </row>
    <row r="60" spans="1:49" ht="11.25" customHeight="1">
      <c r="A60" s="1194" t="s">
        <v>221</v>
      </c>
      <c r="B60" s="1194" t="s">
        <v>222</v>
      </c>
      <c r="C60" s="1194" t="s">
        <v>223</v>
      </c>
      <c r="D60" s="1194" t="s">
        <v>224</v>
      </c>
      <c r="E60" s="2924"/>
      <c r="F60" s="2924"/>
      <c r="G60" s="2924"/>
      <c r="H60" s="2924"/>
      <c r="I60" s="2758"/>
      <c r="J60" s="1194"/>
      <c r="K60" s="1194"/>
      <c r="L60" s="1194"/>
      <c r="M60" s="1237"/>
      <c r="Q60" s="2900"/>
      <c r="R60" s="1258"/>
      <c r="S60" s="1258"/>
      <c r="T60" s="293"/>
      <c r="U60" s="1205"/>
      <c r="V60" s="302" t="s">
        <v>457</v>
      </c>
      <c r="W60" s="304"/>
      <c r="X60" s="304"/>
      <c r="Y60" s="304"/>
      <c r="Z60" s="304"/>
      <c r="AA60" s="304"/>
      <c r="AB60" s="304"/>
      <c r="AC60" s="304"/>
      <c r="AD60" s="304"/>
      <c r="AE60" s="304"/>
      <c r="AF60" s="303"/>
      <c r="AG60" s="304"/>
      <c r="AH60" s="304"/>
      <c r="AI60" s="304"/>
      <c r="AJ60" s="304"/>
      <c r="AK60" s="304"/>
      <c r="AL60" s="304"/>
      <c r="AM60" s="304"/>
      <c r="AN60" s="304"/>
      <c r="AO60" s="303"/>
      <c r="AP60" s="304"/>
      <c r="AQ60" s="241"/>
      <c r="AS60" s="437"/>
      <c r="AT60" s="437" t="str">
        <f t="shared" si="2"/>
        <v>Добавить группу потребителей</v>
      </c>
      <c r="AU60" s="437"/>
      <c r="AV60" s="437"/>
      <c r="AW60" s="1082">
        <v>11</v>
      </c>
    </row>
    <row r="61" spans="1:49" ht="0" hidden="1" customHeight="1">
      <c r="A61" s="1194" t="s">
        <v>221</v>
      </c>
      <c r="B61" s="1194" t="s">
        <v>222</v>
      </c>
      <c r="C61" s="1194" t="s">
        <v>223</v>
      </c>
      <c r="D61" s="1194" t="s">
        <v>224</v>
      </c>
      <c r="E61" s="2924"/>
      <c r="F61" s="2924"/>
      <c r="G61" s="2924"/>
      <c r="H61" s="2923"/>
      <c r="I61" s="1194"/>
      <c r="J61" s="1194"/>
      <c r="K61" s="1194"/>
      <c r="L61" s="1194"/>
      <c r="M61" s="1237"/>
      <c r="N61" s="625"/>
      <c r="O61" s="625"/>
      <c r="P61" s="446"/>
      <c r="Q61" s="297"/>
      <c r="R61" s="312"/>
      <c r="S61" s="292"/>
      <c r="T61" s="297"/>
      <c r="U61" s="1313"/>
      <c r="V61" s="1314"/>
      <c r="W61" s="1315"/>
      <c r="X61" s="1315"/>
      <c r="Y61" s="1315"/>
      <c r="Z61" s="1315"/>
      <c r="AA61" s="1315"/>
      <c r="AB61" s="1315"/>
      <c r="AC61" s="1315"/>
      <c r="AD61" s="1315"/>
      <c r="AE61" s="1315"/>
      <c r="AF61" s="1315"/>
      <c r="AG61" s="1315"/>
      <c r="AH61" s="1315"/>
      <c r="AI61" s="1315"/>
      <c r="AJ61" s="1315"/>
      <c r="AK61" s="1315"/>
      <c r="AL61" s="1315"/>
      <c r="AM61" s="1315"/>
      <c r="AN61" s="1315"/>
      <c r="AO61" s="1315"/>
      <c r="AP61" s="1315"/>
      <c r="AQ61" s="1316"/>
      <c r="AS61" s="437"/>
      <c r="AT61" s="437" t="str">
        <f t="shared" si="2"/>
        <v/>
      </c>
      <c r="AU61" s="437"/>
      <c r="AV61" s="437"/>
      <c r="AW61" s="1082">
        <v>0</v>
      </c>
    </row>
    <row r="62" spans="1:49" s="1569" customFormat="1" ht="0" hidden="1" customHeight="1">
      <c r="A62" s="1302" t="s">
        <v>221</v>
      </c>
      <c r="B62" s="1302" t="s">
        <v>222</v>
      </c>
      <c r="C62" s="1302" t="s">
        <v>223</v>
      </c>
      <c r="D62" s="1301"/>
      <c r="E62" s="2924"/>
      <c r="F62" s="2924"/>
      <c r="G62" s="2923"/>
      <c r="H62" s="1301"/>
      <c r="I62" s="1301"/>
      <c r="J62" s="1301"/>
      <c r="K62" s="1301"/>
      <c r="L62" s="1301"/>
      <c r="M62" s="1304"/>
      <c r="N62" s="1305"/>
      <c r="O62" s="1305"/>
      <c r="P62" s="288"/>
      <c r="Q62" s="1243"/>
      <c r="R62" s="1244"/>
      <c r="S62" s="1243"/>
      <c r="T62" s="1243"/>
      <c r="U62" s="1249"/>
      <c r="V62" s="1252" t="s">
        <v>174</v>
      </c>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S62" s="720"/>
      <c r="AT62" s="720" t="str">
        <f t="shared" si="2"/>
        <v>Добавить источник для дифференциации</v>
      </c>
      <c r="AU62" s="720"/>
      <c r="AV62" s="720"/>
      <c r="AW62" s="455">
        <v>0</v>
      </c>
    </row>
    <row r="63" spans="1:49" s="1569" customFormat="1" ht="0" hidden="1" customHeight="1">
      <c r="A63" s="1302" t="s">
        <v>221</v>
      </c>
      <c r="B63" s="1302" t="s">
        <v>222</v>
      </c>
      <c r="C63" s="1301"/>
      <c r="D63" s="1301"/>
      <c r="E63" s="2924"/>
      <c r="F63" s="2923"/>
      <c r="G63" s="1301"/>
      <c r="H63" s="1301"/>
      <c r="I63" s="1301"/>
      <c r="J63" s="1301"/>
      <c r="K63" s="1301"/>
      <c r="L63" s="1301"/>
      <c r="M63" s="1304"/>
      <c r="N63" s="1306"/>
      <c r="O63" s="1306"/>
      <c r="P63" s="288"/>
      <c r="Q63" s="1243"/>
      <c r="R63" s="1244"/>
      <c r="S63" s="1243"/>
      <c r="T63" s="1243"/>
      <c r="U63" s="1249"/>
      <c r="V63" s="1252" t="s">
        <v>176</v>
      </c>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S63" s="720"/>
      <c r="AT63" s="720" t="str">
        <f t="shared" si="2"/>
        <v>Добавить централизованную систему для дифференциации</v>
      </c>
      <c r="AU63" s="720"/>
      <c r="AV63" s="720"/>
      <c r="AW63" s="455">
        <v>0</v>
      </c>
    </row>
    <row r="64" spans="1:49" s="1569" customFormat="1" ht="0" hidden="1" customHeight="1">
      <c r="A64" s="1302" t="s">
        <v>221</v>
      </c>
      <c r="B64" s="1302"/>
      <c r="C64" s="1302"/>
      <c r="D64" s="1302"/>
      <c r="E64" s="2923"/>
      <c r="F64" s="1302"/>
      <c r="G64" s="1302"/>
      <c r="H64" s="1302"/>
      <c r="I64" s="1302"/>
      <c r="J64" s="1302"/>
      <c r="K64" s="1302"/>
      <c r="L64" s="1302"/>
      <c r="M64" s="1308"/>
      <c r="N64" s="1306"/>
      <c r="O64" s="1306"/>
      <c r="P64" s="288"/>
      <c r="Q64" s="317"/>
      <c r="R64" s="1271"/>
      <c r="S64" s="317"/>
      <c r="T64" s="317"/>
      <c r="U64" s="1249"/>
      <c r="V64" s="1252" t="s">
        <v>178</v>
      </c>
      <c r="W64" s="1251"/>
      <c r="X64" s="1251"/>
      <c r="Y64" s="1251"/>
      <c r="Z64" s="1251"/>
      <c r="AA64" s="1251"/>
      <c r="AB64" s="1251"/>
      <c r="AC64" s="1251"/>
      <c r="AD64" s="1251"/>
      <c r="AE64" s="1251"/>
      <c r="AF64" s="1251"/>
      <c r="AG64" s="1251"/>
      <c r="AH64" s="1251"/>
      <c r="AI64" s="1251"/>
      <c r="AJ64" s="1251"/>
      <c r="AK64" s="1251"/>
      <c r="AL64" s="1251"/>
      <c r="AM64" s="1251"/>
      <c r="AN64" s="1251"/>
      <c r="AO64" s="1251"/>
      <c r="AP64" s="1251"/>
      <c r="AQ64" s="1251"/>
      <c r="AS64" s="437"/>
      <c r="AT64" s="437" t="str">
        <f t="shared" si="2"/>
        <v>Добавить территорию для дифференциации</v>
      </c>
      <c r="AU64" s="437"/>
      <c r="AV64" s="437"/>
      <c r="AW64" s="448">
        <v>0</v>
      </c>
    </row>
    <row r="65" spans="1:49" s="1569" customFormat="1" ht="4.5" customHeight="1">
      <c r="A65" s="1301"/>
      <c r="B65" s="1301"/>
      <c r="C65" s="1301"/>
      <c r="D65" s="1301"/>
      <c r="E65" s="1302"/>
      <c r="F65" s="1301"/>
      <c r="G65" s="1301"/>
      <c r="H65" s="1301"/>
      <c r="I65" s="1301"/>
      <c r="J65" s="1301"/>
      <c r="K65" s="1301"/>
      <c r="L65" s="1301"/>
      <c r="M65" s="1304"/>
      <c r="N65" s="1306"/>
      <c r="O65" s="1306"/>
      <c r="P65" s="288"/>
      <c r="Q65" s="1243"/>
      <c r="R65" s="1244"/>
      <c r="S65" s="1243"/>
      <c r="T65" s="1243"/>
      <c r="U65" s="1249"/>
      <c r="V65" s="1252" t="s">
        <v>212</v>
      </c>
      <c r="W65" s="1251"/>
      <c r="X65" s="1251"/>
      <c r="Y65" s="1251"/>
      <c r="Z65" s="1251"/>
      <c r="AA65" s="1251"/>
      <c r="AB65" s="1251"/>
      <c r="AC65" s="1251"/>
      <c r="AD65" s="1251"/>
      <c r="AE65" s="1251"/>
      <c r="AF65" s="1251"/>
      <c r="AG65" s="1251"/>
      <c r="AH65" s="1251"/>
      <c r="AI65" s="1251"/>
      <c r="AJ65" s="1251"/>
      <c r="AK65" s="1251"/>
      <c r="AL65" s="1251"/>
      <c r="AM65" s="1251"/>
      <c r="AN65" s="1251"/>
      <c r="AO65" s="1251"/>
      <c r="AP65" s="1251"/>
      <c r="AQ65" s="1251"/>
      <c r="AS65" s="720"/>
      <c r="AT65" s="720" t="str">
        <f t="shared" si="2"/>
        <v>Добавить наименование тарифа</v>
      </c>
      <c r="AU65" s="720"/>
      <c r="AV65" s="720"/>
      <c r="AW65" s="455">
        <v>4</v>
      </c>
    </row>
    <row r="66" spans="1:49" ht="11.25" customHeight="1">
      <c r="N66" s="1082"/>
      <c r="O66" s="1082"/>
      <c r="P66" s="446"/>
      <c r="Q66" s="1082"/>
      <c r="R66" s="1082"/>
      <c r="S66" s="1082"/>
      <c r="T66" s="1082"/>
      <c r="U66" s="1082"/>
      <c r="AR66" s="1082"/>
      <c r="AS66" s="1082"/>
      <c r="AT66" s="1082"/>
      <c r="AU66" s="1082"/>
      <c r="AV66" s="1082"/>
      <c r="AW66" s="1082">
        <v>11</v>
      </c>
    </row>
    <row r="67" spans="1:49" ht="36" customHeight="1">
      <c r="P67" s="446"/>
      <c r="U67" s="1180"/>
      <c r="V67" s="2895"/>
      <c r="W67" s="2895"/>
      <c r="X67" s="2895"/>
      <c r="Y67" s="2895"/>
      <c r="Z67" s="2895"/>
      <c r="AA67" s="2895"/>
      <c r="AB67" s="2895"/>
      <c r="AC67" s="2895"/>
      <c r="AD67" s="2895"/>
      <c r="AE67" s="2895"/>
      <c r="AF67" s="2895"/>
      <c r="AG67" s="2895"/>
      <c r="AH67" s="2895"/>
      <c r="AI67" s="2895"/>
      <c r="AJ67" s="2895"/>
      <c r="AK67" s="2895"/>
      <c r="AL67" s="2895"/>
      <c r="AM67" s="2895"/>
      <c r="AN67" s="2895"/>
      <c r="AO67" s="2895"/>
      <c r="AP67" s="2895"/>
      <c r="AQ67" s="2895"/>
      <c r="AW67" s="1082">
        <v>34</v>
      </c>
    </row>
    <row r="68" spans="1:49" ht="21" customHeight="1">
      <c r="P68" s="446"/>
      <c r="V68" s="2895"/>
      <c r="W68" s="2895"/>
      <c r="X68" s="2895"/>
      <c r="Y68" s="2895"/>
      <c r="Z68" s="2895"/>
      <c r="AA68" s="2895"/>
      <c r="AB68" s="2895"/>
      <c r="AC68" s="2895"/>
      <c r="AD68" s="2895"/>
      <c r="AE68" s="2895"/>
      <c r="AF68" s="2895"/>
      <c r="AG68" s="2895"/>
      <c r="AH68" s="2895"/>
      <c r="AI68" s="2895"/>
      <c r="AJ68" s="2895"/>
      <c r="AK68" s="2895"/>
      <c r="AL68" s="2895"/>
      <c r="AM68" s="2895"/>
      <c r="AN68" s="2895"/>
      <c r="AO68" s="2895"/>
      <c r="AP68" s="2895"/>
      <c r="AQ68" s="2895"/>
      <c r="AW68" s="1082">
        <v>20</v>
      </c>
    </row>
    <row r="69" spans="1:49" ht="15" customHeight="1">
      <c r="P69" s="446"/>
      <c r="AW69" s="1082">
        <v>14</v>
      </c>
    </row>
    <row r="70" spans="1:49" ht="28.5" customHeight="1">
      <c r="P70" s="446"/>
      <c r="V70" s="2895"/>
      <c r="W70" s="2895"/>
      <c r="X70" s="2895"/>
      <c r="Y70" s="2895"/>
      <c r="Z70" s="2895"/>
      <c r="AA70" s="2895"/>
      <c r="AB70" s="2895"/>
      <c r="AC70" s="2895"/>
      <c r="AD70" s="2895"/>
      <c r="AE70" s="2895"/>
      <c r="AF70" s="2895"/>
      <c r="AG70" s="2895"/>
      <c r="AH70" s="2895"/>
      <c r="AI70" s="2895"/>
      <c r="AJ70" s="2895"/>
      <c r="AK70" s="2895"/>
      <c r="AL70" s="2895"/>
      <c r="AM70" s="2895"/>
      <c r="AN70" s="2895"/>
      <c r="AO70" s="2895"/>
      <c r="AP70" s="2895"/>
      <c r="AQ70" s="2895"/>
      <c r="AW70" s="1082">
        <v>27</v>
      </c>
    </row>
    <row r="71" spans="1:49" ht="18.75" customHeight="1">
      <c r="P71" s="446"/>
      <c r="V71" s="2895"/>
      <c r="W71" s="2895"/>
      <c r="X71" s="2895"/>
      <c r="Y71" s="2895"/>
      <c r="Z71" s="2895"/>
      <c r="AA71" s="2895"/>
      <c r="AB71" s="2895"/>
      <c r="AC71" s="2895"/>
      <c r="AD71" s="2895"/>
      <c r="AE71" s="2895"/>
      <c r="AF71" s="2895"/>
      <c r="AG71" s="2895"/>
      <c r="AH71" s="2895"/>
      <c r="AI71" s="2895"/>
      <c r="AJ71" s="2895"/>
      <c r="AK71" s="2895"/>
      <c r="AL71" s="2895"/>
      <c r="AM71" s="2895"/>
      <c r="AN71" s="2895"/>
      <c r="AO71" s="2895"/>
      <c r="AP71" s="2895"/>
      <c r="AQ71" s="2895"/>
      <c r="AW71" s="1082">
        <v>18</v>
      </c>
    </row>
    <row r="72" spans="1:49" ht="22.5" hidden="1" customHeight="1">
      <c r="A72" s="1082" t="s">
        <v>87</v>
      </c>
      <c r="B72" s="1082">
        <v>0</v>
      </c>
      <c r="C72" s="1082">
        <v>0</v>
      </c>
      <c r="D72" s="1082">
        <v>0</v>
      </c>
      <c r="E72" s="1082">
        <v>0</v>
      </c>
      <c r="F72" s="1082">
        <v>0</v>
      </c>
      <c r="G72" s="1082">
        <v>0</v>
      </c>
      <c r="H72" s="1082">
        <v>0</v>
      </c>
      <c r="I72" s="1082">
        <v>0</v>
      </c>
      <c r="J72" s="1082">
        <v>0</v>
      </c>
      <c r="K72" s="1082">
        <v>0</v>
      </c>
      <c r="L72" s="1082">
        <v>0</v>
      </c>
      <c r="M72" s="1254">
        <v>0</v>
      </c>
      <c r="N72" s="1255">
        <v>0</v>
      </c>
      <c r="O72" s="1255">
        <v>0</v>
      </c>
      <c r="P72" s="1255">
        <v>0</v>
      </c>
      <c r="Q72" s="1255">
        <v>0</v>
      </c>
      <c r="R72" s="282">
        <v>3</v>
      </c>
      <c r="S72" s="282">
        <v>3</v>
      </c>
      <c r="T72" s="282">
        <v>3</v>
      </c>
      <c r="U72" s="518">
        <v>12</v>
      </c>
      <c r="V72" s="1082">
        <v>31</v>
      </c>
      <c r="W72" s="1082">
        <v>0</v>
      </c>
      <c r="X72" s="1082">
        <v>0</v>
      </c>
      <c r="Y72" s="1082">
        <v>0</v>
      </c>
      <c r="Z72" s="1082">
        <v>0</v>
      </c>
      <c r="AA72" s="1082">
        <v>0</v>
      </c>
      <c r="AB72" s="1082">
        <v>0</v>
      </c>
      <c r="AC72" s="1082">
        <v>0</v>
      </c>
      <c r="AD72" s="1082">
        <v>0</v>
      </c>
      <c r="AE72" s="1082">
        <v>0</v>
      </c>
      <c r="AF72" s="1082">
        <v>0</v>
      </c>
      <c r="AG72" s="1082">
        <v>21</v>
      </c>
      <c r="AH72" s="1082">
        <v>21</v>
      </c>
      <c r="AI72" s="1082">
        <v>21</v>
      </c>
      <c r="AJ72" s="1082">
        <v>21</v>
      </c>
      <c r="AK72" s="1082">
        <v>21</v>
      </c>
      <c r="AL72" s="1082">
        <v>11</v>
      </c>
      <c r="AM72" s="1082">
        <v>3</v>
      </c>
      <c r="AN72" s="1082">
        <v>11</v>
      </c>
      <c r="AO72" s="1082">
        <v>8</v>
      </c>
      <c r="AP72" s="1082">
        <v>4</v>
      </c>
      <c r="AQ72" s="1082">
        <v>115</v>
      </c>
      <c r="AR72" s="448">
        <v>10</v>
      </c>
      <c r="AS72" s="448">
        <v>10</v>
      </c>
      <c r="AT72" s="448">
        <v>10</v>
      </c>
      <c r="AU72" s="448">
        <v>10</v>
      </c>
      <c r="AV72" s="448">
        <v>10</v>
      </c>
      <c r="AW72" s="1082">
        <v>23</v>
      </c>
    </row>
  </sheetData>
  <sheetProtection formatColumns="0" formatRows="0" insertRows="0" deleteColumns="0" deleteRows="0" sort="0" autoFilter="0"/>
  <mergeCells count="122">
    <mergeCell ref="AN19:AN22"/>
    <mergeCell ref="AO19:AO22"/>
    <mergeCell ref="E2:E17"/>
    <mergeCell ref="X2:AF2"/>
    <mergeCell ref="AG2:AP2"/>
    <mergeCell ref="F3:F16"/>
    <mergeCell ref="X3:AF3"/>
    <mergeCell ref="AG3:AP3"/>
    <mergeCell ref="G4:G15"/>
    <mergeCell ref="X4:AF4"/>
    <mergeCell ref="AG4:AP4"/>
    <mergeCell ref="H5:H14"/>
    <mergeCell ref="X5:AF5"/>
    <mergeCell ref="AG5:AP5"/>
    <mergeCell ref="I6:I13"/>
    <mergeCell ref="Q6:Q13"/>
    <mergeCell ref="X6:AF6"/>
    <mergeCell ref="AG6:AP6"/>
    <mergeCell ref="AQ9:AQ12"/>
    <mergeCell ref="J7:J12"/>
    <mergeCell ref="R7:R12"/>
    <mergeCell ref="X7:AF7"/>
    <mergeCell ref="AG7:AP7"/>
    <mergeCell ref="S8:S11"/>
    <mergeCell ref="U35:V35"/>
    <mergeCell ref="X35:AE35"/>
    <mergeCell ref="AG35:AN35"/>
    <mergeCell ref="K8:K11"/>
    <mergeCell ref="L9:L10"/>
    <mergeCell ref="AC8:AC11"/>
    <mergeCell ref="AE8:AE11"/>
    <mergeCell ref="AD8:AD11"/>
    <mergeCell ref="AF8:AF11"/>
    <mergeCell ref="AL8:AL11"/>
    <mergeCell ref="AM8:AM11"/>
    <mergeCell ref="AN8:AN11"/>
    <mergeCell ref="AO8:AO11"/>
    <mergeCell ref="U30:AN30"/>
    <mergeCell ref="U31:AN31"/>
    <mergeCell ref="U33:V33"/>
    <mergeCell ref="AL19:AL22"/>
    <mergeCell ref="AM19:AM22"/>
    <mergeCell ref="U36:V36"/>
    <mergeCell ref="X36:AE36"/>
    <mergeCell ref="AG36:AN36"/>
    <mergeCell ref="X33:AE33"/>
    <mergeCell ref="AG33:AN33"/>
    <mergeCell ref="U34:V34"/>
    <mergeCell ref="X34:AE34"/>
    <mergeCell ref="AG34:AN34"/>
    <mergeCell ref="J54:J59"/>
    <mergeCell ref="R54:R59"/>
    <mergeCell ref="X54:AF54"/>
    <mergeCell ref="AG54:AP54"/>
    <mergeCell ref="K55:K58"/>
    <mergeCell ref="AD48:AE48"/>
    <mergeCell ref="AM48:AN48"/>
    <mergeCell ref="X41:AF41"/>
    <mergeCell ref="AG41:AO41"/>
    <mergeCell ref="U42:AP42"/>
    <mergeCell ref="U43:U47"/>
    <mergeCell ref="V43:V47"/>
    <mergeCell ref="X43:AE43"/>
    <mergeCell ref="AF43:AF47"/>
    <mergeCell ref="AG43:AN43"/>
    <mergeCell ref="AO43:AO47"/>
    <mergeCell ref="AC55:AC58"/>
    <mergeCell ref="AE55:AE58"/>
    <mergeCell ref="AD55:AD58"/>
    <mergeCell ref="E49:E64"/>
    <mergeCell ref="X49:AF49"/>
    <mergeCell ref="AG49:AP49"/>
    <mergeCell ref="F50:F63"/>
    <mergeCell ref="X50:AF50"/>
    <mergeCell ref="AG50:AP50"/>
    <mergeCell ref="G51:G62"/>
    <mergeCell ref="X51:AF51"/>
    <mergeCell ref="AG51:AP51"/>
    <mergeCell ref="H52:H61"/>
    <mergeCell ref="X52:AF52"/>
    <mergeCell ref="AG52:AP52"/>
    <mergeCell ref="I53:I60"/>
    <mergeCell ref="Q53:Q60"/>
    <mergeCell ref="L56:L57"/>
    <mergeCell ref="AF55:AF58"/>
    <mergeCell ref="AH44:AK44"/>
    <mergeCell ref="AL44:AN45"/>
    <mergeCell ref="AH45:AH47"/>
    <mergeCell ref="X53:AF53"/>
    <mergeCell ref="AG53:AP53"/>
    <mergeCell ref="AI45:AK45"/>
    <mergeCell ref="AI46:AI47"/>
    <mergeCell ref="AJ46:AK46"/>
    <mergeCell ref="AL46:AL47"/>
    <mergeCell ref="AM46:AN47"/>
    <mergeCell ref="AP43:AP47"/>
    <mergeCell ref="X44:X47"/>
    <mergeCell ref="AG44:AG47"/>
    <mergeCell ref="V71:AQ71"/>
    <mergeCell ref="U39:V39"/>
    <mergeCell ref="X39:AE39"/>
    <mergeCell ref="AG39:AN39"/>
    <mergeCell ref="U38:V38"/>
    <mergeCell ref="X38:AE38"/>
    <mergeCell ref="AG38:AN38"/>
    <mergeCell ref="AL55:AL58"/>
    <mergeCell ref="AM55:AM58"/>
    <mergeCell ref="AN55:AN58"/>
    <mergeCell ref="AO55:AO58"/>
    <mergeCell ref="V70:AQ70"/>
    <mergeCell ref="AQ42:AQ47"/>
    <mergeCell ref="AQ56:AQ59"/>
    <mergeCell ref="V67:AQ67"/>
    <mergeCell ref="V68:AQ68"/>
    <mergeCell ref="Y44:AB44"/>
    <mergeCell ref="Y45:Y47"/>
    <mergeCell ref="Z45:AB45"/>
    <mergeCell ref="AA46:AB46"/>
    <mergeCell ref="Z46:Z47"/>
    <mergeCell ref="AC46:AC47"/>
    <mergeCell ref="AD46:AE47"/>
    <mergeCell ref="AC44:AE45"/>
  </mergeCells>
  <dataValidations count="8">
    <dataValidation type="list" allowBlank="1" showInputMessage="1" showErrorMessage="1" errorTitle="Ошибка" error="Выберите значение из списка" sqref="V65592 V131128 V196664 V262200 V327736 V393272 V458808 V524344 V589880 V655416 V720952 V786488 V852024 V917560 V983096">
      <formula1>kind_of_heat_transfer</formula1>
    </dataValidation>
    <dataValidation type="list" allowBlank="1" showInputMessage="1" showErrorMessage="1" errorTitle="Ошибка" error="Выберите значение из списка" sqref="X983094:Z983094 X65590:Z65590 X131126:Z131126 X196662:Z196662 X262198:Z262198 X327734:Z327734 X393270:Z393270 X458806:Z458806 X524342:Z524342 X589878:Z589878 X655414:Z655414 X720950:Z720950 X786486:Z786486 X852022:Z852022 X917558:Z917558 AG983094:AI983094 AG65590:AI65590 AG131126:AI131126 AG196662:AI196662 AG262198:AI262198 AG327734:AI327734 AG393270:AI393270 AG458806:AI458806 AG524342:AI524342 AG589878:AI589878 AG655414:AI655414 AG720950:AI720950 AG786486:AI786486 AG852022:AI852022 AG917558:AI917558">
      <formula1>kind_of_scheme_in</formula1>
    </dataValidation>
    <dataValidation type="list" allowBlank="1" showInputMessage="1" errorTitle="Ошибка" error="Выберите значение из списка" prompt="Выберите значение из списка" sqref="X983095:AP983095 X65591:AP65591 X131127:AP131127 X196663:AP196663 X262199:AP262199 X327735:AP327735 X393271:AP393271 X458807:AP458807 X524343:AP524343 X589879:AP589879 X655415:AP655415 X720951:AP720951 X786487:AP786487 X852023:AP852023 X917559:AP917559">
      <formula1>kind_of_cons</formula1>
    </dataValidation>
    <dataValidation allowBlank="1" sqref="U131130:AQ131136 U196666:AQ196672 U262202:AQ262208 U327738:AQ327744 U393274:AQ393280 U458810:AQ458816 U524346:AQ524352 U589882:AQ589888 U655418:AQ655424 U720954:AQ720960 U786490:AQ786496 U852026:AQ852032 U917562:AQ917568 U983098:AQ983104 U65594:AQ65600"/>
    <dataValidation type="textLength" operator="lessThanOrEqual" allowBlank="1" showInputMessage="1" showErrorMessage="1" errorTitle="Ошибка" error="Допускается ввод не более 900 символов!" sqref="AQ65586:AQ65593 AQ131122:AQ131129 AQ196658:AQ196665 AQ262194:AQ262201 AQ327730:AQ327737 AQ393266:AQ393273 AQ458802:AQ458809 AQ524338:AQ524345 AQ589874:AQ589881 AQ655410:AQ655417 AQ720946:AQ720953 AQ786482:AQ786489 AQ852018:AQ852025 AQ917554:AQ917561 AQ983090:AQ983097">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92 AC131128 AC196664 AC262200 AC327736 AC393272 AC458808 AC524344 AC589880 AC655416 AC720952 AC786488 AC852024 AC917560 AC983096 AE65592 AE131128 AE196664 AE262200 AE327736 AE393272 AE458808 AE524344 AE589880 AE655416 AE720952 AE786488 AE852024 AE917560 AE983096 AN55 AL65592 AL131128 AL196664 AL262200 AL327736 AL393272 AL458808 AL524344 AL589880 AL655416 AL720952 AL786488 AL852024 AL917560 AL983096 AN65592 AN131128 AN196664 AN262200 AN327736 AN393272 AN458808 AN524344 AN589880 AN655416 AN720952 AN786488 AN852024 AN917560 AN983096 AC55 AE55 AL55 AE8 AC8 AL19:AL21 AN19:AN21 AN8 AL8"/>
    <dataValidation allowBlank="1" promptTitle="checkPeriodRange" sqref="AB65593 AB131129 AB196665 AB262201 AB327737 AB393273 AB458809 AB524345 AB589881 AB655417 AB720953 AB786489 AB852025 AB917561 AB983097 AB10:AB11 AK65593 AK131129 AK196665 AK262201 AK327737 AK393273 AK458809 AK524345 AK589881 AK655417 AK720953 AK786489 AK852025 AK917561 AK983097 AK10:AK11 AK57 AK22 AB57"/>
    <dataValidation allowBlank="1" showInputMessage="1" showErrorMessage="1" prompt="Для выбора выполните двойной щелчок левой клавиши мыши по соответствующей ячейке." sqref="AD65592 AD131128 AD196664 AD262200 AD327736 AD393272 AD458808 AD524344 AD589880 AD655416 AD720952 AD786488 AD852024 AD917560 AD983096 AF131128 AF458808 AF196664 AF262200 AF327736 AF393272 AF524344 AF589880 AF655416 AF720952 AF786488 AF852024 AF917560 AF983096 AF65592 AM65592 AM131128 AM196664 AM262200 AM327736 AM393272 AM458808 AM524344 AM589880 AM655416 AM720952 AM786488 AM852024 AM917560 AM983096 AO393272 AO327736 AO524344 AO55 AO589880 AO655416 AO19:AO21 AO720952 AO786488 AO852024 AO917560 AO983096 AO65592 AO131128 AO458808 AF55 AO196664 AF8 AD8 AM55 AM19:AM21 AO262200 AD55 AO8 AM8"/>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CCCCFF"/>
  </sheetPr>
  <dimension ref="A1:Q79"/>
  <sheetViews>
    <sheetView showGridLines="0" tabSelected="1" topLeftCell="C1" zoomScale="90" workbookViewId="0">
      <selection activeCell="F67" sqref="F67"/>
    </sheetView>
  </sheetViews>
  <sheetFormatPr defaultColWidth="9.140625" defaultRowHeight="11.25" customHeight="1"/>
  <cols>
    <col min="1" max="1" width="10.7109375" style="718" hidden="1" customWidth="1"/>
    <col min="2" max="2" width="10.7109375" style="669" hidden="1" customWidth="1"/>
    <col min="3" max="3" width="3" style="467" customWidth="1"/>
    <col min="4" max="4" width="1" style="1562" customWidth="1"/>
    <col min="5" max="6" width="55" style="1562" customWidth="1"/>
    <col min="7" max="7" width="1" style="2000" customWidth="1"/>
    <col min="8" max="8" width="18" style="1562" hidden="1" customWidth="1"/>
    <col min="9" max="9" width="59" style="468" customWidth="1"/>
    <col min="10" max="10" width="52.140625" style="1293" hidden="1" customWidth="1"/>
    <col min="11" max="11" width="8" style="1562" customWidth="1"/>
    <col min="12" max="12" width="77" style="1562" customWidth="1"/>
    <col min="13" max="16" width="8" style="1562" customWidth="1"/>
    <col min="17" max="17" width="12" style="1562" hidden="1" customWidth="1"/>
  </cols>
  <sheetData>
    <row r="1" spans="1:17" s="559" customFormat="1" ht="3" customHeight="1">
      <c r="A1" s="714"/>
      <c r="B1" s="179"/>
      <c r="F1" s="180" t="s">
        <v>13</v>
      </c>
      <c r="G1" s="348"/>
      <c r="H1" s="11"/>
      <c r="I1" s="348"/>
      <c r="J1" s="802"/>
      <c r="Q1" s="180" t="s">
        <v>14</v>
      </c>
    </row>
    <row r="2" spans="1:17" s="1559" customFormat="1" ht="14.25" customHeight="1">
      <c r="A2" s="714"/>
      <c r="B2" s="38"/>
      <c r="E2" s="1666" t="str">
        <f>code</f>
        <v>Код отчёта: PP110.OPEN.INFO.REQUEST.HEAT.EIAS</v>
      </c>
      <c r="F2" s="207"/>
      <c r="G2" s="183"/>
      <c r="H2" s="183"/>
      <c r="I2" s="183"/>
      <c r="J2" s="803"/>
      <c r="K2" s="183"/>
      <c r="Q2" s="11">
        <v>14</v>
      </c>
    </row>
    <row r="3" spans="1:17" ht="15" customHeight="1">
      <c r="E3" s="184" t="str">
        <f>version</f>
        <v>Версия отчёта: 1.1.1</v>
      </c>
      <c r="F3" s="207"/>
      <c r="G3" s="702"/>
      <c r="H3" s="702"/>
      <c r="I3" s="702"/>
      <c r="J3" s="804"/>
      <c r="K3" s="28"/>
      <c r="Q3" s="14">
        <v>14</v>
      </c>
    </row>
    <row r="4" spans="1:17" s="1539" customFormat="1" ht="6" customHeight="1">
      <c r="A4" s="715"/>
      <c r="B4" s="170"/>
      <c r="C4" s="171"/>
      <c r="D4" s="172"/>
      <c r="E4" s="181"/>
      <c r="F4" s="182"/>
      <c r="G4" s="703"/>
      <c r="H4" s="346"/>
      <c r="I4" s="348"/>
      <c r="J4" s="805"/>
      <c r="Q4" s="174">
        <v>6</v>
      </c>
    </row>
    <row r="5" spans="1:17" ht="39.75" customHeight="1">
      <c r="D5" s="15"/>
      <c r="E5" s="2739" t="str">
        <f>NameTemplatesInTitle</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F5" s="2740"/>
      <c r="G5" s="704"/>
      <c r="J5" s="806"/>
      <c r="Q5" s="14">
        <v>38</v>
      </c>
    </row>
    <row r="6" spans="1:17" s="1539" customFormat="1" ht="6" customHeight="1">
      <c r="A6" s="715"/>
      <c r="B6" s="170"/>
      <c r="C6" s="171"/>
      <c r="D6" s="172"/>
      <c r="E6" s="175"/>
      <c r="F6" s="176"/>
      <c r="G6" s="704"/>
      <c r="H6" s="346"/>
      <c r="I6" s="348"/>
      <c r="J6" s="805"/>
      <c r="Q6" s="174">
        <v>6</v>
      </c>
    </row>
    <row r="7" spans="1:17" ht="21" customHeight="1">
      <c r="D7" s="15"/>
      <c r="E7" s="328" t="s">
        <v>15</v>
      </c>
      <c r="F7" s="153" t="s">
        <v>16</v>
      </c>
      <c r="G7" s="704"/>
      <c r="Q7" s="14">
        <v>20</v>
      </c>
    </row>
    <row r="8" spans="1:17" s="1539" customFormat="1" ht="6" customHeight="1">
      <c r="A8" s="716"/>
      <c r="B8" s="170"/>
      <c r="C8" s="171"/>
      <c r="D8" s="177"/>
      <c r="E8" s="175"/>
      <c r="F8" s="178"/>
      <c r="G8" s="17"/>
      <c r="H8" s="346"/>
      <c r="I8" s="348"/>
      <c r="J8" s="808"/>
      <c r="Q8" s="174">
        <v>6</v>
      </c>
    </row>
    <row r="9" spans="1:17" s="1562" customFormat="1" ht="19.5" hidden="1" customHeight="1">
      <c r="A9" s="715"/>
      <c r="B9" s="38"/>
      <c r="C9" s="345"/>
      <c r="D9" s="347"/>
      <c r="E9" s="1092" t="s">
        <v>17</v>
      </c>
      <c r="F9" s="1846"/>
      <c r="G9" s="704"/>
      <c r="I9" s="1825" t="str">
        <f>IF(TITLE_STRUCTURE_INFO_ROIV="","","раскрывается "&amp;INDEX(ROIV_INFO_COMMENT,MATCH(TITLE_STRUCTURE_INFO_ROIV,ROIV_INFO_LIST,0)))</f>
        <v/>
      </c>
      <c r="J9" s="807"/>
      <c r="Q9" s="346">
        <v>0</v>
      </c>
    </row>
    <row r="10" spans="1:17" s="1539" customFormat="1" ht="24" hidden="1" customHeight="1">
      <c r="A10" s="716"/>
      <c r="B10" s="363"/>
      <c r="C10" s="364"/>
      <c r="D10" s="177"/>
      <c r="E10" s="1092" t="s">
        <v>18</v>
      </c>
      <c r="F10" s="1988" t="s">
        <v>19</v>
      </c>
      <c r="G10" s="17"/>
      <c r="H10" s="346"/>
      <c r="I10" s="348"/>
      <c r="J10" s="808"/>
      <c r="Q10" s="367">
        <v>24</v>
      </c>
    </row>
    <row r="11" spans="1:17" ht="22.5" customHeight="1">
      <c r="A11" s="2742" t="s">
        <v>20</v>
      </c>
      <c r="D11" s="15"/>
      <c r="E11" s="1092" t="s">
        <v>21</v>
      </c>
      <c r="F11" s="1658" t="s">
        <v>22</v>
      </c>
      <c r="G11" s="17"/>
      <c r="H11" s="705" t="s">
        <v>23</v>
      </c>
      <c r="J11" s="807" t="s">
        <v>24</v>
      </c>
      <c r="Q11" s="14">
        <v>0</v>
      </c>
    </row>
    <row r="12" spans="1:17" ht="22.5" customHeight="1">
      <c r="A12" s="2742"/>
      <c r="D12" s="15"/>
      <c r="E12" s="1092" t="s">
        <v>25</v>
      </c>
      <c r="F12" s="1658" t="s">
        <v>26</v>
      </c>
      <c r="G12" s="13"/>
      <c r="J12" s="807" t="s">
        <v>27</v>
      </c>
      <c r="Q12" s="14">
        <v>0</v>
      </c>
    </row>
    <row r="13" spans="1:17" s="1562" customFormat="1" ht="22.5" hidden="1" customHeight="1">
      <c r="A13" s="719" t="s">
        <v>28</v>
      </c>
      <c r="B13" s="38"/>
      <c r="C13" s="345"/>
      <c r="D13" s="347"/>
      <c r="E13" s="1701" t="s">
        <v>29</v>
      </c>
      <c r="F13" s="1658" t="s">
        <v>30</v>
      </c>
      <c r="G13" s="17"/>
      <c r="H13" s="702"/>
      <c r="I13" s="348"/>
      <c r="J13" s="1702" t="s">
        <v>31</v>
      </c>
      <c r="Q13" s="346">
        <v>0</v>
      </c>
    </row>
    <row r="14" spans="1:17" s="1562" customFormat="1" ht="27" hidden="1" customHeight="1">
      <c r="A14" s="719" t="s">
        <v>32</v>
      </c>
      <c r="B14" s="38"/>
      <c r="C14" s="345"/>
      <c r="D14" s="347"/>
      <c r="E14" s="1092" t="s">
        <v>33</v>
      </c>
      <c r="F14" s="1693"/>
      <c r="G14" s="17"/>
      <c r="H14" s="702"/>
      <c r="I14" s="348"/>
      <c r="J14" s="807" t="s">
        <v>34</v>
      </c>
      <c r="Q14" s="346">
        <v>0</v>
      </c>
    </row>
    <row r="15" spans="1:17" s="1562" customFormat="1" ht="19.5" hidden="1" customHeight="1">
      <c r="A15" s="719" t="s">
        <v>35</v>
      </c>
      <c r="B15" s="38"/>
      <c r="C15" s="345"/>
      <c r="D15" s="347"/>
      <c r="E15" s="1092" t="s">
        <v>36</v>
      </c>
      <c r="F15" s="1693"/>
      <c r="G15" s="17"/>
      <c r="H15" s="702"/>
      <c r="I15" s="348"/>
      <c r="J15" s="807" t="s">
        <v>37</v>
      </c>
      <c r="Q15" s="346">
        <v>0</v>
      </c>
    </row>
    <row r="16" spans="1:17" s="1539" customFormat="1" ht="6" customHeight="1">
      <c r="A16" s="716"/>
      <c r="B16" s="170"/>
      <c r="C16" s="171"/>
      <c r="D16" s="177"/>
      <c r="E16" s="175"/>
      <c r="F16" s="178"/>
      <c r="G16" s="17"/>
      <c r="H16" s="346"/>
      <c r="I16" s="348"/>
      <c r="J16" s="805"/>
      <c r="Q16" s="174">
        <v>6</v>
      </c>
    </row>
    <row r="17" spans="1:17" ht="21" customHeight="1">
      <c r="D17" s="15"/>
      <c r="E17" s="328" t="s">
        <v>38</v>
      </c>
      <c r="F17" s="2013" t="s">
        <v>39</v>
      </c>
      <c r="G17" s="13"/>
      <c r="H17" s="705" t="s">
        <v>23</v>
      </c>
      <c r="Q17" s="14">
        <v>20</v>
      </c>
    </row>
    <row r="18" spans="1:17" ht="25.5" customHeight="1">
      <c r="D18" s="15"/>
      <c r="E18" s="1701" t="s">
        <v>40</v>
      </c>
      <c r="F18" s="2028" t="s">
        <v>41</v>
      </c>
      <c r="G18" s="13"/>
      <c r="I18" s="706"/>
      <c r="J18" s="2741" t="s">
        <v>42</v>
      </c>
      <c r="Q18" s="14">
        <v>0</v>
      </c>
    </row>
    <row r="19" spans="1:17" ht="25.5" customHeight="1">
      <c r="D19" s="15"/>
      <c r="E19" s="1092" t="str">
        <f>"Дата периода регулирования, с которой "&amp;IF(TEMPLATE_GROUP="P","вводятся","предлагаются")&amp;" изменения в тарифы"</f>
        <v>Дата периода регулирования, с которой предлагаются изменения в тарифы</v>
      </c>
      <c r="F19" s="2028" t="s">
        <v>22</v>
      </c>
      <c r="G19" s="13"/>
      <c r="I19" s="706"/>
      <c r="J19" s="2741"/>
      <c r="Q19" s="14">
        <v>0</v>
      </c>
    </row>
    <row r="20" spans="1:17" ht="22.5" customHeight="1">
      <c r="D20" s="15"/>
      <c r="E20" s="16"/>
      <c r="F20" s="208" t="str">
        <f>"Первичное "&amp;IF(TEMPLATE_GROUP="P","установление тарифов","предложение по тарифам")</f>
        <v>Первичное предложение по тарифам</v>
      </c>
      <c r="G20" s="13"/>
      <c r="I20" s="331"/>
      <c r="J20" s="806" t="s">
        <v>43</v>
      </c>
      <c r="Q20" s="14">
        <v>0</v>
      </c>
    </row>
    <row r="21" spans="1:17" ht="19.5" customHeight="1">
      <c r="D21" s="15"/>
      <c r="E21" s="328" t="str">
        <f>"Дата "&amp;IF(TEMPLATE_GROUP="P","документа","подачи заявления")&amp;" об утверждении тарифов"</f>
        <v>Дата подачи заявления об утверждении тарифов</v>
      </c>
      <c r="F21" s="1658" t="s">
        <v>44</v>
      </c>
      <c r="G21" s="13"/>
      <c r="I21" s="707"/>
      <c r="Q21" s="14">
        <v>0</v>
      </c>
    </row>
    <row r="22" spans="1:17" ht="19.5" customHeight="1">
      <c r="D22" s="15"/>
      <c r="E22" s="328" t="str">
        <f>"Номер "&amp;IF(TEMPLATE_GROUP="P","документа","подачи заявления")&amp;" об утверждении тарифов"</f>
        <v>Номер подачи заявления об утверждении тарифов</v>
      </c>
      <c r="F22" s="154" t="s">
        <v>45</v>
      </c>
      <c r="G22" s="13"/>
      <c r="I22" s="707"/>
      <c r="Q22" s="14">
        <v>0</v>
      </c>
    </row>
    <row r="23" spans="1:17" ht="22.5" hidden="1" customHeight="1">
      <c r="D23" s="15"/>
      <c r="E23" s="328" t="s">
        <v>46</v>
      </c>
      <c r="F23" s="154"/>
      <c r="G23" s="13"/>
      <c r="Q23" s="14">
        <v>0</v>
      </c>
    </row>
    <row r="24" spans="1:17" ht="19.5" hidden="1" customHeight="1">
      <c r="D24" s="15"/>
      <c r="E24" s="328" t="s">
        <v>47</v>
      </c>
      <c r="F24" s="154"/>
      <c r="G24" s="13"/>
      <c r="Q24" s="14">
        <v>0</v>
      </c>
    </row>
    <row r="25" spans="1:17" ht="22.5" customHeight="1">
      <c r="D25" s="15"/>
      <c r="E25" s="16"/>
      <c r="F25" s="208" t="str">
        <f>"Изменение "&amp;IF(TEMPLATE_GROUP="P","тарифов","предложения по тарифам")</f>
        <v>Изменение предложения по тарифам</v>
      </c>
      <c r="G25" s="13"/>
      <c r="J25" s="806" t="s">
        <v>48</v>
      </c>
      <c r="Q25" s="14">
        <v>0</v>
      </c>
    </row>
    <row r="26" spans="1:17" ht="19.5" customHeight="1">
      <c r="D26" s="15"/>
      <c r="E26" s="328" t="str">
        <f>"Дата "&amp;IF(TEMPLATE_GROUP="P","принятия решения","подачи заявления")&amp;" об изменении тарифов"</f>
        <v>Дата подачи заявления об изменении тарифов</v>
      </c>
      <c r="F26" s="2028" t="s">
        <v>41</v>
      </c>
      <c r="G26" s="13"/>
      <c r="Q26" s="14">
        <v>0</v>
      </c>
    </row>
    <row r="27" spans="1:17" ht="19.5" customHeight="1">
      <c r="D27" s="15"/>
      <c r="E27" s="1092" t="str">
        <f>"Номер "&amp;IF(TEMPLATE_GROUP="P","принятия решения","заявления")&amp;" об изменении тарифов"</f>
        <v>Номер заявления об изменении тарифов</v>
      </c>
      <c r="F27" s="2029" t="s">
        <v>49</v>
      </c>
      <c r="G27" s="13"/>
      <c r="Q27" s="14">
        <v>0</v>
      </c>
    </row>
    <row r="28" spans="1:17" ht="24.75" hidden="1" customHeight="1">
      <c r="D28" s="15"/>
      <c r="E28" s="328" t="s">
        <v>50</v>
      </c>
      <c r="F28" s="156"/>
      <c r="G28" s="13"/>
      <c r="Q28" s="14">
        <v>0</v>
      </c>
    </row>
    <row r="29" spans="1:17" ht="19.5" hidden="1" customHeight="1">
      <c r="D29" s="15"/>
      <c r="E29" s="328" t="s">
        <v>47</v>
      </c>
      <c r="F29" s="156"/>
      <c r="G29" s="13"/>
      <c r="Q29" s="14">
        <v>0</v>
      </c>
    </row>
    <row r="30" spans="1:17" s="1539" customFormat="1" ht="6" customHeight="1">
      <c r="A30" s="716"/>
      <c r="B30" s="170"/>
      <c r="C30" s="171"/>
      <c r="D30" s="177"/>
      <c r="E30" s="175"/>
      <c r="F30" s="178"/>
      <c r="G30" s="17"/>
      <c r="H30" s="346"/>
      <c r="I30" s="348"/>
      <c r="J30" s="805"/>
      <c r="Q30" s="174">
        <v>6</v>
      </c>
    </row>
    <row r="31" spans="1:17" ht="21" customHeight="1">
      <c r="C31" s="18"/>
      <c r="D31" s="19"/>
      <c r="E31" s="328" t="str">
        <f>"Наименование "&amp;IF(TEMPLATE_GROUP="ROIV","органа тарифного регулирования","ЮЛ / ИП")</f>
        <v>Наименование ЮЛ / ИП</v>
      </c>
      <c r="F31" s="155" t="s">
        <v>51</v>
      </c>
      <c r="G31" s="708"/>
      <c r="Q31" s="14">
        <v>20</v>
      </c>
    </row>
    <row r="32" spans="1:17" ht="21" hidden="1" customHeight="1">
      <c r="C32" s="18"/>
      <c r="D32" s="19"/>
      <c r="E32" s="329" t="s">
        <v>52</v>
      </c>
      <c r="F32" s="155"/>
      <c r="G32" s="708"/>
      <c r="Q32" s="14">
        <v>20</v>
      </c>
    </row>
    <row r="33" spans="1:17" ht="21" customHeight="1">
      <c r="C33" s="18"/>
      <c r="D33" s="19"/>
      <c r="E33" s="328" t="s">
        <v>53</v>
      </c>
      <c r="F33" s="155" t="s">
        <v>54</v>
      </c>
      <c r="G33" s="708"/>
      <c r="Q33" s="14">
        <v>20</v>
      </c>
    </row>
    <row r="34" spans="1:17" ht="21" customHeight="1">
      <c r="C34" s="18"/>
      <c r="D34" s="19"/>
      <c r="E34" s="328" t="s">
        <v>55</v>
      </c>
      <c r="F34" s="155" t="s">
        <v>56</v>
      </c>
      <c r="G34" s="708"/>
      <c r="H34" s="20"/>
      <c r="Q34" s="14">
        <v>20</v>
      </c>
    </row>
    <row r="35" spans="1:17" s="1539" customFormat="1" ht="11.25" customHeight="1">
      <c r="A35" s="716"/>
      <c r="B35" s="170"/>
      <c r="C35" s="171"/>
      <c r="D35" s="177"/>
      <c r="E35" s="175"/>
      <c r="F35" s="178"/>
      <c r="G35" s="17"/>
      <c r="H35" s="346"/>
      <c r="I35" s="348"/>
      <c r="J35" s="805"/>
      <c r="Q35" s="174">
        <v>11</v>
      </c>
    </row>
    <row r="36" spans="1:17" ht="19.5" customHeight="1">
      <c r="A36" s="810"/>
      <c r="D36" s="19"/>
      <c r="E36" s="328" t="s">
        <v>57</v>
      </c>
      <c r="F36" s="1137" t="s">
        <v>58</v>
      </c>
      <c r="G36" s="17"/>
      <c r="Q36" s="14">
        <v>0</v>
      </c>
    </row>
    <row r="37" spans="1:17" ht="21" customHeight="1">
      <c r="A37" s="810"/>
      <c r="D37" s="19"/>
      <c r="E37" s="328" t="s">
        <v>59</v>
      </c>
      <c r="F37" s="1137" t="s">
        <v>60</v>
      </c>
      <c r="G37" s="17"/>
      <c r="Q37" s="14">
        <v>20</v>
      </c>
    </row>
    <row r="38" spans="1:17" s="1539" customFormat="1" ht="6" customHeight="1">
      <c r="A38" s="716"/>
      <c r="B38" s="170"/>
      <c r="C38" s="171"/>
      <c r="D38" s="172"/>
      <c r="E38" s="173"/>
      <c r="F38" s="983"/>
      <c r="G38" s="13"/>
      <c r="H38" s="346"/>
      <c r="I38" s="348"/>
      <c r="J38" s="807"/>
      <c r="Q38" s="174">
        <v>6</v>
      </c>
    </row>
    <row r="39" spans="1:17" ht="36.75" customHeight="1">
      <c r="A39" s="716"/>
      <c r="D39" s="15"/>
      <c r="E39" s="328" t="s">
        <v>61</v>
      </c>
      <c r="F39" s="647" t="s">
        <v>19</v>
      </c>
      <c r="G39" s="13"/>
      <c r="H39" s="705" t="s">
        <v>23</v>
      </c>
      <c r="Q39" s="14">
        <v>35</v>
      </c>
    </row>
    <row r="40" spans="1:17" s="1539" customFormat="1" ht="6" hidden="1" customHeight="1">
      <c r="A40" s="715"/>
      <c r="B40" s="363"/>
      <c r="C40" s="364"/>
      <c r="D40" s="365"/>
      <c r="E40" s="366"/>
      <c r="F40" s="983"/>
      <c r="G40" s="13"/>
      <c r="H40" s="346"/>
      <c r="I40" s="348"/>
      <c r="J40" s="807"/>
      <c r="Q40" s="367">
        <v>6</v>
      </c>
    </row>
    <row r="41" spans="1:17" s="1562" customFormat="1" ht="26.25" hidden="1" customHeight="1">
      <c r="A41" s="719" t="s">
        <v>28</v>
      </c>
      <c r="B41" s="350"/>
      <c r="C41" s="345"/>
      <c r="D41" s="347"/>
      <c r="E41" s="328" t="str">
        <f>"Дифференциация информации по централизованным системам  "&amp;TEMPLATE_SPHERE_RUS</f>
        <v>Дифференциация информации по централизованным системам  теплоснабжения</v>
      </c>
      <c r="F41" s="647" t="s">
        <v>19</v>
      </c>
      <c r="G41" s="13"/>
      <c r="I41" s="348"/>
      <c r="J41" s="807"/>
      <c r="Q41" s="346">
        <v>0</v>
      </c>
    </row>
    <row r="42" spans="1:17" s="1539" customFormat="1" ht="6" customHeight="1">
      <c r="A42" s="715"/>
      <c r="B42" s="363"/>
      <c r="C42" s="364"/>
      <c r="D42" s="365"/>
      <c r="E42" s="366"/>
      <c r="F42" s="983"/>
      <c r="G42" s="13"/>
      <c r="H42" s="346"/>
      <c r="I42" s="348"/>
      <c r="J42" s="805"/>
      <c r="Q42" s="367">
        <v>0</v>
      </c>
    </row>
    <row r="43" spans="1:17" s="1562" customFormat="1" ht="27" hidden="1" customHeight="1">
      <c r="A43" s="715"/>
      <c r="B43" s="350"/>
      <c r="C43" s="345"/>
      <c r="D43" s="347"/>
      <c r="E43" s="328" t="s">
        <v>62</v>
      </c>
      <c r="F43" s="647" t="s">
        <v>19</v>
      </c>
      <c r="G43" s="13"/>
      <c r="I43" s="348"/>
      <c r="J43" s="807"/>
      <c r="Q43" s="346">
        <v>0</v>
      </c>
    </row>
    <row r="44" spans="1:17" s="1562" customFormat="1" ht="27" hidden="1" customHeight="1">
      <c r="A44" s="715"/>
      <c r="B44" s="350"/>
      <c r="C44" s="345"/>
      <c r="D44" s="347"/>
      <c r="E44" s="1092" t="s">
        <v>63</v>
      </c>
      <c r="F44" s="1813"/>
      <c r="G44" s="13"/>
      <c r="I44" s="348"/>
      <c r="J44" s="807"/>
      <c r="Q44" s="346">
        <v>0</v>
      </c>
    </row>
    <row r="45" spans="1:17" s="1539" customFormat="1" ht="6" customHeight="1">
      <c r="A45" s="715"/>
      <c r="B45" s="363"/>
      <c r="C45" s="364"/>
      <c r="D45" s="365"/>
      <c r="E45" s="366"/>
      <c r="F45" s="983"/>
      <c r="G45" s="13"/>
      <c r="H45" s="346"/>
      <c r="I45" s="348"/>
      <c r="J45" s="807"/>
      <c r="Q45" s="367">
        <v>0</v>
      </c>
    </row>
    <row r="46" spans="1:17" s="1539" customFormat="1" ht="24.75" customHeight="1">
      <c r="A46" s="715"/>
      <c r="B46" s="363"/>
      <c r="C46" s="364"/>
      <c r="D46" s="365"/>
      <c r="E46" s="1092" t="s">
        <v>64</v>
      </c>
      <c r="F46" s="647" t="s">
        <v>19</v>
      </c>
      <c r="G46" s="13"/>
      <c r="H46" s="346"/>
      <c r="I46" s="348"/>
      <c r="J46" s="807"/>
      <c r="Q46" s="367">
        <v>0</v>
      </c>
    </row>
    <row r="47" spans="1:17" s="1562" customFormat="1" ht="24.75" customHeight="1">
      <c r="A47" s="715"/>
      <c r="B47" s="350"/>
      <c r="C47" s="345"/>
      <c r="D47" s="347"/>
      <c r="E47" s="1092" t="s">
        <v>65</v>
      </c>
      <c r="F47" s="647" t="s">
        <v>19</v>
      </c>
      <c r="G47" s="13"/>
      <c r="I47" s="348"/>
      <c r="J47" s="807"/>
      <c r="Q47" s="346">
        <v>0</v>
      </c>
    </row>
    <row r="48" spans="1:17" s="1539" customFormat="1" ht="6" hidden="1" customHeight="1">
      <c r="A48" s="715"/>
      <c r="B48" s="170"/>
      <c r="C48" s="171"/>
      <c r="D48" s="172"/>
      <c r="E48" s="173"/>
      <c r="F48" s="983"/>
      <c r="G48" s="13"/>
      <c r="H48" s="346"/>
      <c r="I48" s="348"/>
      <c r="J48" s="807"/>
      <c r="Q48" s="174">
        <v>0</v>
      </c>
    </row>
    <row r="49" spans="1:17" ht="29.25" hidden="1" customHeight="1">
      <c r="B49" s="86"/>
      <c r="D49" s="15"/>
      <c r="E49" s="328" t="str">
        <f>"Организация осуществляет подключение (технологическое присоединение) к системе "&amp;TEMPLATE_SPHERE_RUS</f>
        <v>Организация осуществляет подключение (технологическое присоединение) к системе теплоснабжения</v>
      </c>
      <c r="F49" s="647"/>
      <c r="G49" s="13"/>
      <c r="Q49" s="14">
        <v>0</v>
      </c>
    </row>
    <row r="50" spans="1:17" s="1539" customFormat="1" ht="6" hidden="1" customHeight="1">
      <c r="A50" s="716"/>
      <c r="B50" s="363"/>
      <c r="C50" s="364"/>
      <c r="D50" s="177"/>
      <c r="E50" s="175"/>
      <c r="F50" s="178"/>
      <c r="G50" s="17"/>
      <c r="H50" s="346"/>
      <c r="I50" s="348"/>
      <c r="J50" s="807"/>
      <c r="Q50" s="367">
        <v>0</v>
      </c>
    </row>
    <row r="51" spans="1:17" s="1562" customFormat="1" ht="28.5" hidden="1" customHeight="1">
      <c r="A51" s="717"/>
      <c r="B51" s="350"/>
      <c r="C51" s="467"/>
      <c r="D51" s="468"/>
      <c r="E51" s="328" t="s">
        <v>66</v>
      </c>
      <c r="F51" s="647" t="s">
        <v>19</v>
      </c>
      <c r="G51" s="469"/>
      <c r="I51" s="471"/>
      <c r="J51" s="809"/>
      <c r="P51" s="472"/>
      <c r="Q51" s="470">
        <v>0</v>
      </c>
    </row>
    <row r="52" spans="1:17" s="1539" customFormat="1" ht="6" hidden="1" customHeight="1">
      <c r="A52" s="716"/>
      <c r="B52" s="363"/>
      <c r="C52" s="364"/>
      <c r="D52" s="177"/>
      <c r="E52" s="175"/>
      <c r="F52" s="178"/>
      <c r="G52" s="17"/>
      <c r="H52" s="346"/>
      <c r="I52" s="348"/>
      <c r="J52" s="805"/>
      <c r="Q52" s="367">
        <v>0</v>
      </c>
    </row>
    <row r="53" spans="1:17" s="1562" customFormat="1" ht="27" hidden="1" customHeight="1">
      <c r="A53" s="717"/>
      <c r="B53" s="350"/>
      <c r="C53" s="467"/>
      <c r="D53" s="468"/>
      <c r="E53" s="328" t="s">
        <v>67</v>
      </c>
      <c r="F53" s="978" t="s">
        <v>19</v>
      </c>
      <c r="G53" s="469"/>
      <c r="I53" s="471"/>
      <c r="J53" s="809"/>
      <c r="P53" s="472"/>
      <c r="Q53" s="470">
        <v>0</v>
      </c>
    </row>
    <row r="54" spans="1:17" s="1562" customFormat="1" ht="27" hidden="1" customHeight="1">
      <c r="A54" s="717"/>
      <c r="B54" s="350"/>
      <c r="C54" s="467"/>
      <c r="D54" s="468"/>
      <c r="E54" s="328" t="s">
        <v>68</v>
      </c>
      <c r="F54" s="1700"/>
      <c r="G54" s="469"/>
      <c r="I54" s="471"/>
      <c r="J54" s="809"/>
      <c r="P54" s="472"/>
      <c r="Q54" s="470">
        <v>0</v>
      </c>
    </row>
    <row r="55" spans="1:17" s="1539" customFormat="1" ht="6" hidden="1" customHeight="1">
      <c r="A55" s="716"/>
      <c r="B55" s="363"/>
      <c r="C55" s="364"/>
      <c r="D55" s="177"/>
      <c r="E55" s="175"/>
      <c r="F55" s="178"/>
      <c r="G55" s="17"/>
      <c r="H55" s="346"/>
      <c r="I55" s="348"/>
      <c r="J55" s="805"/>
      <c r="Q55" s="367">
        <v>0</v>
      </c>
    </row>
    <row r="56" spans="1:17" s="1562" customFormat="1" ht="25.5" hidden="1" customHeight="1">
      <c r="A56" s="717"/>
      <c r="B56" s="350"/>
      <c r="C56" s="467"/>
      <c r="D56" s="468"/>
      <c r="E56" s="328" t="s">
        <v>69</v>
      </c>
      <c r="F56" s="978" t="s">
        <v>19</v>
      </c>
      <c r="G56" s="469"/>
      <c r="I56" s="471"/>
      <c r="J56" s="809"/>
      <c r="P56" s="472"/>
      <c r="Q56" s="470">
        <v>0</v>
      </c>
    </row>
    <row r="57" spans="1:17" s="1539" customFormat="1" ht="6" hidden="1" customHeight="1">
      <c r="A57" s="716"/>
      <c r="B57" s="363"/>
      <c r="C57" s="364"/>
      <c r="D57" s="177"/>
      <c r="E57" s="175"/>
      <c r="F57" s="178"/>
      <c r="G57" s="17"/>
      <c r="H57" s="346"/>
      <c r="I57" s="348"/>
      <c r="J57" s="805"/>
      <c r="Q57" s="367">
        <v>0</v>
      </c>
    </row>
    <row r="58" spans="1:17" s="1562" customFormat="1" ht="15" hidden="1" customHeight="1">
      <c r="A58" s="717"/>
      <c r="B58" s="350"/>
      <c r="C58" s="467"/>
      <c r="D58" s="468"/>
      <c r="E58" s="328" t="s">
        <v>70</v>
      </c>
      <c r="F58" s="978" t="s">
        <v>71</v>
      </c>
      <c r="G58" s="469"/>
      <c r="I58" s="471"/>
      <c r="J58" s="809"/>
      <c r="P58" s="472"/>
      <c r="Q58" s="470">
        <v>0</v>
      </c>
    </row>
    <row r="59" spans="1:17" s="1562" customFormat="1" ht="75" hidden="1" customHeight="1">
      <c r="A59" s="717"/>
      <c r="B59" s="350"/>
      <c r="C59" s="467"/>
      <c r="D59" s="468"/>
      <c r="E59" s="328" t="str">
        <f>"Инвестиционная программа относится к деятельности, при осуществлении которой расчеты за товары (услуги) в сфере  "&amp;TEMPLATE_SPHERE_RUS&amp;" осуществляются по регулируемым ценам (тарифам) (за исключением деятельности по подключению (технологическому присоединению) к системе  "&amp;TEMPLATE_SPHERE_RUS&amp;")"</f>
        <v>Инвестиционная программа относится к деятельности, при осуществлении которой расчеты за товары (услуги) в сфере  теплоснабжения осуществляются по регулируемым ценам (тарифам) (за исключением деятельности по подключению (технологическому присоединению) к системе  теплоснабжения)</v>
      </c>
      <c r="F59" s="1116"/>
      <c r="G59" s="469"/>
      <c r="I59" s="471"/>
      <c r="J59" s="809"/>
      <c r="P59" s="472"/>
      <c r="Q59" s="470">
        <v>0</v>
      </c>
    </row>
    <row r="60" spans="1:17" s="1562" customFormat="1" ht="15" hidden="1" customHeight="1">
      <c r="A60" s="717"/>
      <c r="B60" s="350"/>
      <c r="C60" s="467"/>
      <c r="D60" s="468"/>
      <c r="E60" s="1092" t="s">
        <v>72</v>
      </c>
      <c r="F60" s="1078"/>
      <c r="G60" s="469"/>
      <c r="I60" s="471"/>
      <c r="J60" s="809"/>
      <c r="P60" s="472"/>
      <c r="Q60" s="470">
        <v>0</v>
      </c>
    </row>
    <row r="61" spans="1:17" s="1539" customFormat="1" ht="6" hidden="1" customHeight="1">
      <c r="A61" s="716"/>
      <c r="B61" s="363"/>
      <c r="C61" s="364"/>
      <c r="D61" s="365"/>
      <c r="E61" s="366"/>
      <c r="F61" s="983"/>
      <c r="G61" s="13"/>
      <c r="H61" s="346"/>
      <c r="I61" s="348"/>
      <c r="J61" s="807"/>
      <c r="Q61" s="367">
        <v>0</v>
      </c>
    </row>
    <row r="62" spans="1:17" s="1562" customFormat="1" ht="33.75" hidden="1" customHeight="1">
      <c r="A62" s="716"/>
      <c r="B62" s="38"/>
      <c r="C62" s="345"/>
      <c r="D62" s="347"/>
      <c r="E62" s="1092" t="s">
        <v>73</v>
      </c>
      <c r="F62" s="1598" t="s">
        <v>71</v>
      </c>
      <c r="G62" s="13"/>
      <c r="H62" s="705" t="s">
        <v>23</v>
      </c>
      <c r="I62" s="348"/>
      <c r="J62" s="807"/>
      <c r="Q62" s="346">
        <v>0</v>
      </c>
    </row>
    <row r="63" spans="1:17" s="1539" customFormat="1" ht="6" customHeight="1">
      <c r="A63" s="716"/>
      <c r="B63" s="170"/>
      <c r="C63" s="171"/>
      <c r="D63" s="177"/>
      <c r="E63" s="175"/>
      <c r="F63" s="178"/>
      <c r="G63" s="17"/>
      <c r="H63" s="346"/>
      <c r="I63" s="348"/>
      <c r="J63" s="805"/>
      <c r="Q63" s="174">
        <v>6</v>
      </c>
    </row>
    <row r="64" spans="1:17" ht="21" customHeight="1">
      <c r="B64" s="39"/>
      <c r="D64" s="22"/>
      <c r="E64" s="328" t="s">
        <v>74</v>
      </c>
      <c r="F64" s="2013" t="s">
        <v>75</v>
      </c>
      <c r="G64" s="17"/>
      <c r="Q64" s="14">
        <v>20</v>
      </c>
    </row>
    <row r="65" spans="1:17" ht="21" customHeight="1">
      <c r="B65" s="39"/>
      <c r="D65" s="22"/>
      <c r="E65" s="328" t="s">
        <v>76</v>
      </c>
      <c r="F65" s="154" t="s">
        <v>77</v>
      </c>
      <c r="G65" s="17"/>
      <c r="Q65" s="14">
        <v>20</v>
      </c>
    </row>
    <row r="66" spans="1:17" ht="36.75" customHeight="1">
      <c r="D66" s="15"/>
      <c r="E66" s="330" t="s">
        <v>78</v>
      </c>
      <c r="F66" s="984"/>
      <c r="G66" s="13"/>
      <c r="Q66" s="14">
        <v>35</v>
      </c>
    </row>
    <row r="67" spans="1:17" ht="21" customHeight="1">
      <c r="D67" s="347"/>
      <c r="E67" s="328" t="s">
        <v>79</v>
      </c>
      <c r="F67" s="2013" t="s">
        <v>80</v>
      </c>
      <c r="G67" s="17"/>
      <c r="Q67" s="14">
        <v>20</v>
      </c>
    </row>
    <row r="68" spans="1:17" ht="21" customHeight="1">
      <c r="B68" s="39"/>
      <c r="D68" s="22"/>
      <c r="E68" s="328" t="s">
        <v>81</v>
      </c>
      <c r="F68" s="209" t="s">
        <v>82</v>
      </c>
      <c r="G68" s="17"/>
      <c r="Q68" s="14">
        <v>20</v>
      </c>
    </row>
    <row r="69" spans="1:17" ht="21" customHeight="1">
      <c r="B69" s="39"/>
      <c r="D69" s="22"/>
      <c r="E69" s="328" t="s">
        <v>83</v>
      </c>
      <c r="F69" s="209" t="s">
        <v>84</v>
      </c>
      <c r="G69" s="17"/>
      <c r="Q69" s="14">
        <v>20</v>
      </c>
    </row>
    <row r="70" spans="1:17" ht="21" customHeight="1">
      <c r="D70" s="347"/>
      <c r="E70" s="328" t="s">
        <v>85</v>
      </c>
      <c r="F70" s="209" t="s">
        <v>86</v>
      </c>
      <c r="G70" s="13"/>
      <c r="Q70" s="14">
        <v>20</v>
      </c>
    </row>
    <row r="71" spans="1:17" ht="21" customHeight="1">
      <c r="D71" s="13"/>
      <c r="F71" s="72"/>
      <c r="G71" s="17"/>
      <c r="Q71" s="14">
        <v>20</v>
      </c>
    </row>
    <row r="72" spans="1:17" ht="21" customHeight="1">
      <c r="B72" s="39"/>
      <c r="D72" s="22"/>
      <c r="E72" s="21"/>
      <c r="F72" s="963" t="s">
        <v>13</v>
      </c>
      <c r="G72" s="17"/>
      <c r="Q72" s="14">
        <v>20</v>
      </c>
    </row>
    <row r="73" spans="1:17" ht="21" customHeight="1">
      <c r="B73" s="39"/>
      <c r="D73" s="22"/>
      <c r="E73" s="21"/>
      <c r="F73" s="73"/>
      <c r="G73" s="17"/>
      <c r="Q73" s="14">
        <v>20</v>
      </c>
    </row>
    <row r="74" spans="1:17" ht="21" customHeight="1">
      <c r="B74" s="39"/>
      <c r="D74" s="22"/>
      <c r="E74" s="26"/>
      <c r="F74" s="73"/>
      <c r="G74" s="17"/>
      <c r="Q74" s="14">
        <v>20</v>
      </c>
    </row>
    <row r="75" spans="1:17" ht="21" customHeight="1">
      <c r="B75" s="39"/>
      <c r="D75" s="22"/>
      <c r="E75" s="21"/>
      <c r="F75" s="73"/>
      <c r="G75" s="17"/>
      <c r="Q75" s="14">
        <v>20</v>
      </c>
    </row>
    <row r="76" spans="1:17" ht="11.25" customHeight="1">
      <c r="Q76" s="14">
        <v>11</v>
      </c>
    </row>
    <row r="77" spans="1:17" ht="11.25" customHeight="1">
      <c r="Q77" s="14">
        <v>11</v>
      </c>
    </row>
    <row r="78" spans="1:17" ht="11.25" customHeight="1">
      <c r="E78" s="327"/>
      <c r="F78" s="327"/>
      <c r="G78" s="327"/>
      <c r="H78" s="327"/>
      <c r="I78" s="327"/>
      <c r="Q78" s="14">
        <v>11</v>
      </c>
    </row>
    <row r="79" spans="1:17" ht="11.25" hidden="1" customHeight="1">
      <c r="A79" s="715" t="s">
        <v>87</v>
      </c>
      <c r="B79" s="38">
        <v>0</v>
      </c>
      <c r="C79" s="12">
        <v>3</v>
      </c>
      <c r="D79" s="14">
        <v>1</v>
      </c>
      <c r="E79" s="14">
        <v>55</v>
      </c>
      <c r="F79" s="14">
        <v>54</v>
      </c>
      <c r="G79" s="703">
        <v>1</v>
      </c>
      <c r="H79" s="346">
        <v>0</v>
      </c>
      <c r="I79" s="348">
        <v>59</v>
      </c>
      <c r="J79" s="807">
        <v>0</v>
      </c>
      <c r="K79" s="14">
        <v>8</v>
      </c>
      <c r="L79" s="14">
        <v>77</v>
      </c>
      <c r="M79" s="14">
        <v>8</v>
      </c>
      <c r="N79" s="14">
        <v>8</v>
      </c>
      <c r="O79" s="14">
        <v>8</v>
      </c>
      <c r="P79" s="14">
        <v>8</v>
      </c>
      <c r="Q79" s="14">
        <v>11</v>
      </c>
    </row>
  </sheetData>
  <sheetProtection formatColumns="0" formatRows="0" insertRows="0" deleteColumns="0" deleteRows="0" sort="0" autoFilter="0"/>
  <mergeCells count="3">
    <mergeCell ref="E5:F5"/>
    <mergeCell ref="J18:J19"/>
    <mergeCell ref="A11:A12"/>
  </mergeCells>
  <dataValidations count="13">
    <dataValidation type="list" allowBlank="1" showInputMessage="1" showErrorMessage="1" errorTitle="Ошибка" error="Выберите значение из списка" prompt="Выберите значение из списка:_x000a_ОСН - Общая система налогообложения_x000a_УСН - Упрощённая система налогообложения_x000a_ЕСХН - Единый сельскохозяйственный налог_x000a_ПСН - Патентная система налогообложения_x000a_НПД - Налог на профессиональный доход" sqref="F37">
      <formula1>kind_of_NDS</formula1>
    </dataValidation>
    <dataValidation allowBlank="1" showInputMessage="1" showErrorMessage="1" prompt="Выбор организации двойным щелчком левой клавиши мыши" sqref="F31"/>
    <dataValidation type="list" allowBlank="1" showInputMessage="1" showErrorMessage="1" errorTitle="Ошибка" error="Выберите значение из списка" prompt="Выберите значение из списка" sqref="F9">
      <formula1>ROIV_INFO_LIST</formula1>
    </dataValidation>
    <dataValidation type="list" allowBlank="1" showInputMessage="1" showErrorMessage="1" errorTitle="Ошибка" error="Выберите значение из списка" prompt="Выберите значение из списка" sqref="F60">
      <formula1>TITLE_IP_DETAILED_METHOD_LIST</formula1>
    </dataValidation>
    <dataValidation allowBlank="1" showInputMessage="1" showErrorMessage="1" prompt="Выберите значение из календаря (иконка справа от выбранной ячейки), либо введите дату непосредственно в ячейку в формате - 'ДД.ММ.ГГГГ'" sqref="F54"/>
    <dataValidation type="list" allowBlank="1" showInputMessage="1" showErrorMessage="1" errorTitle="Ошибка" error="Выберите значение из списка" prompt="Выберите значение из списка" sqref="F15">
      <formula1>QUARTER</formula1>
    </dataValidation>
    <dataValidation type="list" allowBlank="1" showInputMessage="1" showErrorMessage="1" errorTitle="Ошибка" error="Выберите значение из списка" prompt="Выберите значение из списка" sqref="F14">
      <formula1>year_list</formula1>
    </dataValidation>
    <dataValidation type="list" allowBlank="1" showInputMessage="1" showErrorMessage="1" errorTitle="Ошибка" error="Выберите значение из списка" prompt="Выберите значение из списка" sqref="F36">
      <formula1>kind_of_org_type</formula1>
    </dataValidation>
    <dataValidation allowBlank="1" showInputMessage="1" showErrorMessage="1" prompt="Для выбора выполните двойной щелчок левой клавиши мыши по соответствующей ячейке." sqref="F49 F53 F56 F58 F51 F39:F41 F43 F45:F47 F62 F10"/>
    <dataValidation type="list" allowBlank="1" showInputMessage="1" showErrorMessage="1" errorTitle="Ошибка" error="Выберите значение из списка" prompt="Выберите значение из списка" sqref="F17">
      <formula1>kind_of_data_type</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6 F21 F18:F19 F11:F13"/>
    <dataValidation type="list" allowBlank="1" showInputMessage="1" showErrorMessage="1" errorTitle="Ошибка" error="Выберите значение из списка" prompt="Выберите значение из списка" sqref="F61 F38">
      <formula1>kind_of_NDS</formula1>
    </dataValidation>
    <dataValidation type="textLength" operator="lessThanOrEqual" allowBlank="1" showInputMessage="1" showErrorMessage="1" errorTitle="Ошибка" error="Допускается ввод не более 900 символов!" sqref="F72:F75 F64:F65 F67:F70 F22:F24 F27:F29 F32">
      <formula1>900</formula1>
    </dataValidation>
  </dataValidations>
  <hyperlinks>
    <hyperlink ref="H11" location="Титульный!H9" tooltip="Помощь по работе с полями отчётной формы" display="Как заполнить?"/>
    <hyperlink ref="H17" location="Титульный!H9" tooltip="Помощь по работе с полями отчётной формы" display="Как заполнить?"/>
    <hyperlink ref="H39" location="Титульный!H9" tooltip="Помощь по работе с полями отчётной формы" display="Как заполнить?"/>
    <hyperlink ref="H62" location="Титульный!H9" tooltip="Помощь по работе с полями отчётной формы" display="Как заполнить?"/>
  </hyperlinks>
  <pageMargins left="0.75" right="0.75" top="1" bottom="1" header="0.5" footer="0.5"/>
  <pageSetup paperSize="8" orientation="portrait"/>
  <headerFooter>
    <oddHeader>&amp;L&amp;C&amp;R</oddHeader>
    <oddFooter>&amp;L&amp;C&amp;R</oddFooter>
    <evenHeader>&amp;L&amp;C&amp;R</evenHeader>
    <evenFooter>&amp;L&amp;C&amp;R</evenFooter>
  </headerFooter>
  <drawing r:id="rId1"/>
  <legacy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A70"/>
  <sheetViews>
    <sheetView showGridLines="0" zoomScale="90" workbookViewId="0">
      <pane xSplit="27" ySplit="44" topLeftCell="AB45" activePane="bottomRight" state="frozen"/>
      <selection pane="topRight" activeCell="AB1" sqref="AB1"/>
      <selection pane="bottomLeft" activeCell="A45" sqref="A45"/>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 style="1702" customWidth="1"/>
    <col min="17" max="17" width="3" style="1298" customWidth="1"/>
    <col min="18" max="18" width="3" style="282" customWidth="1"/>
    <col min="19" max="19" width="12" style="200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5.42578125" style="1562" customWidth="1"/>
    <col min="29" max="30" width="3" style="1562" customWidth="1"/>
    <col min="31" max="31" width="24" style="1562" customWidth="1"/>
    <col min="32" max="32" width="3.7109375" style="1562" customWidth="1"/>
    <col min="33" max="34" width="3" style="1562" customWidth="1"/>
    <col min="35" max="35" width="24" style="1562" customWidth="1"/>
    <col min="36" max="36" width="3.7109375" style="1562" customWidth="1"/>
    <col min="37" max="38" width="3" style="1562" customWidth="1"/>
    <col min="39" max="39" width="18" style="1562" customWidth="1"/>
    <col min="40" max="41" width="21" style="1562" customWidth="1"/>
    <col min="42" max="42" width="11" style="1562" customWidth="1"/>
    <col min="43" max="43" width="3.7109375" style="1562" customWidth="1"/>
    <col min="44" max="44" width="11" style="1562" customWidth="1"/>
    <col min="45" max="45" width="8.5703125" style="1562" hidden="1" customWidth="1"/>
    <col min="46" max="46" width="4" style="1562" customWidth="1"/>
    <col min="47" max="47" width="115" style="1562" customWidth="1"/>
    <col min="48" max="52" width="10" style="1569" customWidth="1"/>
    <col min="53" max="53" width="10.5703125" style="1562" hidden="1"/>
  </cols>
  <sheetData>
    <row r="1" spans="1:53" ht="22.5" hidden="1" customHeight="1">
      <c r="W1" s="265"/>
      <c r="X1" s="265"/>
      <c r="AO1" s="265"/>
      <c r="AP1" s="265"/>
      <c r="BA1" s="1082" t="s">
        <v>14</v>
      </c>
    </row>
    <row r="2" spans="1:53" ht="21" hidden="1" customHeight="1">
      <c r="A2" s="1290"/>
      <c r="B2" s="1290"/>
      <c r="C2" s="1290"/>
      <c r="D2" s="1290"/>
      <c r="E2" s="2896">
        <v>1</v>
      </c>
      <c r="F2" s="1290"/>
      <c r="G2" s="1290"/>
      <c r="H2" s="1290"/>
      <c r="I2" s="1290"/>
      <c r="J2" s="1290"/>
      <c r="K2" s="1290"/>
      <c r="L2" s="1291"/>
      <c r="M2" s="1292"/>
      <c r="N2" s="1292"/>
      <c r="O2" s="1292"/>
      <c r="P2" s="1336"/>
      <c r="Q2" s="804"/>
      <c r="R2" s="292"/>
      <c r="S2" s="1263" t="e">
        <f>INDEX(PT_DIFFERENTIATION_NUM_NTAR,MATCH(A2,PT_DIFFERENTIATION_NTAR_ID,0))</f>
        <v>#N/A</v>
      </c>
      <c r="T2" s="236" t="s">
        <v>128</v>
      </c>
      <c r="U2" s="238"/>
      <c r="V2" s="2891"/>
      <c r="W2" s="2891"/>
      <c r="X2" s="2891"/>
      <c r="Y2" s="2891"/>
      <c r="Z2" s="2891"/>
      <c r="AA2" s="2892"/>
      <c r="AB2" s="2890" t="e">
        <f>INDEX(PT_DIFFERENTIATION_NTAR,MATCH(A2,PT_DIFFERENTIATION_NTAR_ID,0))</f>
        <v>#N/A</v>
      </c>
      <c r="AC2" s="2891"/>
      <c r="AD2" s="2891"/>
      <c r="AE2" s="2891"/>
      <c r="AF2" s="2891"/>
      <c r="AG2" s="2891"/>
      <c r="AH2" s="2891"/>
      <c r="AI2" s="2891"/>
      <c r="AJ2" s="2891"/>
      <c r="AK2" s="2891"/>
      <c r="AL2" s="2891"/>
      <c r="AM2" s="2891"/>
      <c r="AN2" s="2891"/>
      <c r="AO2" s="2891"/>
      <c r="AP2" s="2891"/>
      <c r="AQ2" s="2891"/>
      <c r="AR2" s="2891"/>
      <c r="AS2" s="2891"/>
      <c r="AT2" s="2892"/>
      <c r="AU2" s="1185" t="s">
        <v>441</v>
      </c>
      <c r="AW2" s="437"/>
      <c r="AX2" s="437" t="str">
        <f t="shared" ref="AX2:AX8" si="0">IF(T2="","",T2)</f>
        <v>Наименование тарифа</v>
      </c>
      <c r="AY2" s="437"/>
      <c r="AZ2" s="437"/>
      <c r="BA2" s="1082">
        <v>0</v>
      </c>
    </row>
    <row r="3" spans="1:53" ht="21" hidden="1" customHeight="1">
      <c r="A3" s="1290"/>
      <c r="B3" s="1290"/>
      <c r="C3" s="1290"/>
      <c r="D3" s="1290"/>
      <c r="E3" s="2897"/>
      <c r="F3" s="2896">
        <v>1</v>
      </c>
      <c r="G3" s="1290"/>
      <c r="H3" s="1290"/>
      <c r="I3" s="1290"/>
      <c r="J3" s="1290"/>
      <c r="K3" s="1290"/>
      <c r="L3" s="1291"/>
      <c r="M3" s="1292"/>
      <c r="N3" s="1292"/>
      <c r="O3" s="1292"/>
      <c r="P3" s="1337"/>
      <c r="Q3" s="1338"/>
      <c r="R3" s="290"/>
      <c r="S3" s="1263" t="e">
        <f>INDEX(PT_DIFFERENTIATION_NUM_TER,MATCH(B3,PT_DIFFERENTIATION_TER_ID,0))</f>
        <v>#N/A</v>
      </c>
      <c r="T3" s="246" t="s">
        <v>442</v>
      </c>
      <c r="U3" s="238"/>
      <c r="V3" s="2891"/>
      <c r="W3" s="2891"/>
      <c r="X3" s="2891"/>
      <c r="Y3" s="2891"/>
      <c r="Z3" s="2891"/>
      <c r="AA3" s="2892"/>
      <c r="AB3" s="2890" t="e">
        <f>INDEX(PT_DIFFERENTIATION_TER,MATCH(B3,PT_DIFFERENTIATION_TER_ID,0))</f>
        <v>#N/A</v>
      </c>
      <c r="AC3" s="2891"/>
      <c r="AD3" s="2891"/>
      <c r="AE3" s="2891"/>
      <c r="AF3" s="2891"/>
      <c r="AG3" s="2891"/>
      <c r="AH3" s="2891"/>
      <c r="AI3" s="2891"/>
      <c r="AJ3" s="2891"/>
      <c r="AK3" s="2891"/>
      <c r="AL3" s="2891"/>
      <c r="AM3" s="2891"/>
      <c r="AN3" s="2891"/>
      <c r="AO3" s="2891"/>
      <c r="AP3" s="2891"/>
      <c r="AQ3" s="2891"/>
      <c r="AR3" s="2891"/>
      <c r="AS3" s="2891"/>
      <c r="AT3" s="2892"/>
      <c r="AU3" s="1185" t="s">
        <v>443</v>
      </c>
      <c r="AW3" s="437"/>
      <c r="AX3" s="437" t="str">
        <f t="shared" si="0"/>
        <v>Территория действия тарифа</v>
      </c>
      <c r="AY3" s="437"/>
      <c r="AZ3" s="437"/>
      <c r="BA3" s="1082">
        <v>0</v>
      </c>
    </row>
    <row r="4" spans="1:53" ht="22.5" hidden="1" customHeight="1">
      <c r="A4" s="1290"/>
      <c r="B4" s="1290"/>
      <c r="C4" s="1290"/>
      <c r="D4" s="1290"/>
      <c r="E4" s="2897"/>
      <c r="F4" s="2897"/>
      <c r="G4" s="2896">
        <v>1</v>
      </c>
      <c r="H4" s="1290"/>
      <c r="I4" s="1290"/>
      <c r="J4" s="1290"/>
      <c r="K4" s="1290"/>
      <c r="L4" s="1291"/>
      <c r="M4" s="1292"/>
      <c r="N4" s="1292"/>
      <c r="O4" s="1292"/>
      <c r="P4" s="1339"/>
      <c r="Q4" s="1338"/>
      <c r="R4" s="290"/>
      <c r="S4" s="1263" t="e">
        <f>INDEX(PT_DIFFERENTIATION_NUM_CS,MATCH(C4,PT_DIFFERENTIATION_CS_ID,0))</f>
        <v>#N/A</v>
      </c>
      <c r="T4" s="247" t="s">
        <v>444</v>
      </c>
      <c r="U4" s="238"/>
      <c r="V4" s="2891"/>
      <c r="W4" s="2891"/>
      <c r="X4" s="2891"/>
      <c r="Y4" s="2891"/>
      <c r="Z4" s="2891"/>
      <c r="AA4" s="2892"/>
      <c r="AB4" s="2890" t="e">
        <f>INDEX(PT_DIFFERENTIATION_CS,MATCH(C4,PT_DIFFERENTIATION_CS_ID,0))</f>
        <v>#N/A</v>
      </c>
      <c r="AC4" s="2891"/>
      <c r="AD4" s="2891"/>
      <c r="AE4" s="2891"/>
      <c r="AF4" s="2891"/>
      <c r="AG4" s="2891"/>
      <c r="AH4" s="2891"/>
      <c r="AI4" s="2891"/>
      <c r="AJ4" s="2891"/>
      <c r="AK4" s="2891"/>
      <c r="AL4" s="2891"/>
      <c r="AM4" s="2891"/>
      <c r="AN4" s="2891"/>
      <c r="AO4" s="2891"/>
      <c r="AP4" s="2891"/>
      <c r="AQ4" s="2891"/>
      <c r="AR4" s="2891"/>
      <c r="AS4" s="2891"/>
      <c r="AT4" s="2892"/>
      <c r="AU4" s="1185" t="s">
        <v>445</v>
      </c>
      <c r="AW4" s="437"/>
      <c r="AX4" s="437" t="str">
        <f t="shared" si="0"/>
        <v xml:space="preserve">Наименование системы теплоснабжения </v>
      </c>
      <c r="AY4" s="437"/>
      <c r="AZ4" s="437"/>
      <c r="BA4" s="1082">
        <v>0</v>
      </c>
    </row>
    <row r="5" spans="1:53" ht="21" hidden="1" customHeight="1">
      <c r="A5" s="1290"/>
      <c r="B5" s="1290"/>
      <c r="C5" s="1290"/>
      <c r="D5" s="1290"/>
      <c r="E5" s="2897"/>
      <c r="F5" s="2897"/>
      <c r="G5" s="2897"/>
      <c r="H5" s="2896">
        <v>1</v>
      </c>
      <c r="I5" s="1290"/>
      <c r="J5" s="1290"/>
      <c r="K5" s="1290"/>
      <c r="L5" s="1291"/>
      <c r="M5" s="1292"/>
      <c r="N5" s="1292"/>
      <c r="O5" s="1292"/>
      <c r="P5" s="1339"/>
      <c r="Q5" s="1338"/>
      <c r="R5" s="290"/>
      <c r="S5" s="1263" t="e">
        <f>INDEX(PT_DIFFERENTIATION_NUM_IST_TE,MATCH(D5,PT_DIFFERENTIATION_IST_TE_ID,0))</f>
        <v>#N/A</v>
      </c>
      <c r="T5" s="248" t="s">
        <v>446</v>
      </c>
      <c r="U5" s="238"/>
      <c r="V5" s="2891"/>
      <c r="W5" s="2891"/>
      <c r="X5" s="2891"/>
      <c r="Y5" s="2891"/>
      <c r="Z5" s="2891"/>
      <c r="AA5" s="2892"/>
      <c r="AB5" s="2890" t="e">
        <f>INDEX(PT_DIFFERENTIATION_IST_TE,MATCH(D5,PT_DIFFERENTIATION_IST_TE_ID,0))</f>
        <v>#N/A</v>
      </c>
      <c r="AC5" s="2891"/>
      <c r="AD5" s="2891"/>
      <c r="AE5" s="2891"/>
      <c r="AF5" s="2891"/>
      <c r="AG5" s="2891"/>
      <c r="AH5" s="2891"/>
      <c r="AI5" s="2891"/>
      <c r="AJ5" s="2891"/>
      <c r="AK5" s="2891"/>
      <c r="AL5" s="2891"/>
      <c r="AM5" s="2891"/>
      <c r="AN5" s="2891"/>
      <c r="AO5" s="2891"/>
      <c r="AP5" s="2891"/>
      <c r="AQ5" s="2891"/>
      <c r="AR5" s="2891"/>
      <c r="AS5" s="2891"/>
      <c r="AT5" s="2892"/>
      <c r="AU5" s="1185" t="s">
        <v>447</v>
      </c>
      <c r="AW5" s="437"/>
      <c r="AX5" s="437" t="str">
        <f t="shared" si="0"/>
        <v xml:space="preserve">Источник тепловой энергии  </v>
      </c>
      <c r="AY5" s="437"/>
      <c r="AZ5" s="437"/>
      <c r="BA5" s="1082">
        <v>0</v>
      </c>
    </row>
    <row r="6" spans="1:53" s="1569" customFormat="1" ht="0.75" hidden="1" customHeight="1">
      <c r="A6" s="1270"/>
      <c r="B6" s="1270"/>
      <c r="C6" s="1270"/>
      <c r="D6" s="1270"/>
      <c r="E6" s="2897"/>
      <c r="F6" s="2897"/>
      <c r="G6" s="2897"/>
      <c r="H6" s="2897"/>
      <c r="I6" s="2898" t="e">
        <f>S5&amp;".1"</f>
        <v>#N/A</v>
      </c>
      <c r="J6" s="1270"/>
      <c r="K6" s="1270"/>
      <c r="L6" s="1273" t="s">
        <v>448</v>
      </c>
      <c r="M6" s="447"/>
      <c r="N6" s="447"/>
      <c r="O6" s="447"/>
      <c r="P6" s="2900">
        <v>1</v>
      </c>
      <c r="Q6" s="1258"/>
      <c r="R6" s="293"/>
      <c r="S6" s="972"/>
      <c r="T6" s="1310"/>
      <c r="U6" s="1311"/>
      <c r="V6" s="2929"/>
      <c r="W6" s="2929"/>
      <c r="X6" s="2929"/>
      <c r="Y6" s="2929"/>
      <c r="Z6" s="2929"/>
      <c r="AA6" s="2930"/>
      <c r="AB6" s="2928"/>
      <c r="AC6" s="2929"/>
      <c r="AD6" s="2929"/>
      <c r="AE6" s="2929"/>
      <c r="AF6" s="2929"/>
      <c r="AG6" s="2929"/>
      <c r="AH6" s="2929"/>
      <c r="AI6" s="2929"/>
      <c r="AJ6" s="2929"/>
      <c r="AK6" s="2929"/>
      <c r="AL6" s="2929"/>
      <c r="AM6" s="2929"/>
      <c r="AN6" s="2929"/>
      <c r="AO6" s="2929"/>
      <c r="AP6" s="2929"/>
      <c r="AQ6" s="2929"/>
      <c r="AR6" s="2929"/>
      <c r="AS6" s="2929"/>
      <c r="AT6" s="2930"/>
      <c r="AU6" s="1312"/>
      <c r="AW6" s="437"/>
      <c r="AX6" s="437" t="str">
        <f t="shared" si="0"/>
        <v/>
      </c>
      <c r="AY6" s="437"/>
      <c r="AZ6" s="437"/>
      <c r="BA6" s="448">
        <v>0</v>
      </c>
    </row>
    <row r="7" spans="1:53" s="1569" customFormat="1" ht="0.75" hidden="1" customHeight="1">
      <c r="A7" s="1270"/>
      <c r="B7" s="1270"/>
      <c r="C7" s="1270"/>
      <c r="D7" s="1270"/>
      <c r="E7" s="2897"/>
      <c r="F7" s="2897"/>
      <c r="G7" s="2897"/>
      <c r="H7" s="2897"/>
      <c r="I7" s="2899"/>
      <c r="J7" s="2898" t="e">
        <f>S5&amp;".1"</f>
        <v>#N/A</v>
      </c>
      <c r="K7" s="1270"/>
      <c r="L7" s="1273"/>
      <c r="M7" s="447"/>
      <c r="N7" s="447"/>
      <c r="O7" s="447"/>
      <c r="P7" s="2900"/>
      <c r="Q7" s="2900">
        <v>1</v>
      </c>
      <c r="R7" s="294"/>
      <c r="S7" s="972"/>
      <c r="T7" s="1326"/>
      <c r="U7" s="1311"/>
      <c r="V7" s="2929"/>
      <c r="W7" s="2929"/>
      <c r="X7" s="2929"/>
      <c r="Y7" s="2929"/>
      <c r="Z7" s="2929"/>
      <c r="AA7" s="2930"/>
      <c r="AB7" s="2928"/>
      <c r="AC7" s="2929"/>
      <c r="AD7" s="2929"/>
      <c r="AE7" s="2929"/>
      <c r="AF7" s="2929"/>
      <c r="AG7" s="2929"/>
      <c r="AH7" s="2929"/>
      <c r="AI7" s="2929"/>
      <c r="AJ7" s="2929"/>
      <c r="AK7" s="2929"/>
      <c r="AL7" s="2929"/>
      <c r="AM7" s="2929"/>
      <c r="AN7" s="2929"/>
      <c r="AO7" s="2929"/>
      <c r="AP7" s="2929"/>
      <c r="AQ7" s="2929"/>
      <c r="AR7" s="2929"/>
      <c r="AS7" s="2929"/>
      <c r="AT7" s="2930"/>
      <c r="AU7" s="1312"/>
      <c r="AW7" s="437"/>
      <c r="AX7" s="437" t="str">
        <f t="shared" si="0"/>
        <v/>
      </c>
      <c r="AY7" s="437"/>
      <c r="AZ7" s="437"/>
      <c r="BA7" s="448">
        <v>0</v>
      </c>
    </row>
    <row r="8" spans="1:53" ht="21" hidden="1" customHeight="1">
      <c r="A8" s="1290"/>
      <c r="B8" s="1290"/>
      <c r="C8" s="1290"/>
      <c r="D8" s="1290"/>
      <c r="E8" s="2897"/>
      <c r="F8" s="2897"/>
      <c r="G8" s="2897"/>
      <c r="H8" s="2897"/>
      <c r="I8" s="2899"/>
      <c r="J8" s="2899"/>
      <c r="K8" s="2898" t="e">
        <f>S5&amp;".1"</f>
        <v>#N/A</v>
      </c>
      <c r="L8" s="1291"/>
      <c r="P8" s="2900"/>
      <c r="Q8" s="2900"/>
      <c r="R8" s="2957">
        <v>1</v>
      </c>
      <c r="S8" s="2954" t="e">
        <f>$K8</f>
        <v>#N/A</v>
      </c>
      <c r="T8" s="2951"/>
      <c r="U8" s="238"/>
      <c r="V8" s="688"/>
      <c r="W8" s="1184"/>
      <c r="X8" s="2901"/>
      <c r="Y8" s="2768" t="s">
        <v>71</v>
      </c>
      <c r="Z8" s="2901"/>
      <c r="AA8" s="2768" t="s">
        <v>71</v>
      </c>
      <c r="AB8" s="2768" t="s">
        <v>19</v>
      </c>
      <c r="AC8" s="2950"/>
      <c r="AD8" s="2853">
        <v>1</v>
      </c>
      <c r="AE8" s="2964"/>
      <c r="AF8" s="2768" t="s">
        <v>19</v>
      </c>
      <c r="AG8" s="2950"/>
      <c r="AH8" s="2853">
        <v>1</v>
      </c>
      <c r="AI8" s="2964"/>
      <c r="AJ8" s="2768" t="s">
        <v>19</v>
      </c>
      <c r="AK8" s="249"/>
      <c r="AL8" s="1264">
        <v>1</v>
      </c>
      <c r="AM8" s="1325"/>
      <c r="AN8" s="688"/>
      <c r="AO8" s="1184"/>
      <c r="AP8" s="1660"/>
      <c r="AQ8" s="1386" t="s">
        <v>71</v>
      </c>
      <c r="AR8" s="1660"/>
      <c r="AS8" s="1386" t="s">
        <v>71</v>
      </c>
      <c r="AT8" s="1275"/>
      <c r="AU8" s="2919" t="s">
        <v>510</v>
      </c>
      <c r="AV8" s="448" t="e">
        <f ca="1">STRCHECKDATE(V11:AT11)</f>
        <v>#NAME?</v>
      </c>
      <c r="AW8" s="437"/>
      <c r="AX8" s="437" t="str">
        <f t="shared" si="0"/>
        <v/>
      </c>
      <c r="AY8" s="437"/>
      <c r="AZ8" s="437"/>
      <c r="BA8" s="1082">
        <v>0</v>
      </c>
    </row>
    <row r="9" spans="1:53" ht="11.25" hidden="1" customHeight="1">
      <c r="A9" s="1290"/>
      <c r="B9" s="1290"/>
      <c r="C9" s="1290"/>
      <c r="D9" s="1290"/>
      <c r="E9" s="2897"/>
      <c r="F9" s="2897"/>
      <c r="G9" s="2897"/>
      <c r="H9" s="2897"/>
      <c r="I9" s="2899"/>
      <c r="J9" s="2899"/>
      <c r="K9" s="2898"/>
      <c r="L9" s="1291"/>
      <c r="P9" s="2900"/>
      <c r="Q9" s="2900"/>
      <c r="R9" s="2957"/>
      <c r="S9" s="2955"/>
      <c r="T9" s="2952"/>
      <c r="U9" s="238"/>
      <c r="V9" s="1320"/>
      <c r="W9" s="1324"/>
      <c r="X9" s="2901"/>
      <c r="Y9" s="2768"/>
      <c r="Z9" s="2901"/>
      <c r="AA9" s="2768"/>
      <c r="AB9" s="2768"/>
      <c r="AC9" s="2950"/>
      <c r="AD9" s="2853"/>
      <c r="AE9" s="2964"/>
      <c r="AF9" s="2768"/>
      <c r="AG9" s="2950"/>
      <c r="AH9" s="2853"/>
      <c r="AI9" s="2964"/>
      <c r="AJ9" s="2768"/>
      <c r="AK9" s="254"/>
      <c r="AL9" s="353"/>
      <c r="AM9" s="352" t="s">
        <v>511</v>
      </c>
      <c r="AN9" s="1320"/>
      <c r="AO9" s="1423"/>
      <c r="AP9" s="1320"/>
      <c r="AQ9" s="1320"/>
      <c r="AR9" s="1320"/>
      <c r="AS9" s="1320"/>
      <c r="AT9" s="1317"/>
      <c r="AU9" s="2920"/>
      <c r="AW9" s="437"/>
      <c r="AX9" s="437"/>
      <c r="AY9" s="437"/>
      <c r="AZ9" s="437"/>
      <c r="BA9" s="1082">
        <v>0</v>
      </c>
    </row>
    <row r="10" spans="1:53" ht="11.25" hidden="1" customHeight="1">
      <c r="A10" s="1290"/>
      <c r="B10" s="1290"/>
      <c r="C10" s="1290"/>
      <c r="D10" s="1290"/>
      <c r="E10" s="2897"/>
      <c r="F10" s="2897"/>
      <c r="G10" s="2897"/>
      <c r="H10" s="2897"/>
      <c r="I10" s="2899"/>
      <c r="J10" s="2899"/>
      <c r="K10" s="2898"/>
      <c r="L10" s="1291"/>
      <c r="P10" s="2900"/>
      <c r="Q10" s="2900"/>
      <c r="R10" s="2957"/>
      <c r="S10" s="2955"/>
      <c r="T10" s="2952"/>
      <c r="U10" s="238"/>
      <c r="V10" s="1320"/>
      <c r="W10" s="1324"/>
      <c r="X10" s="2901"/>
      <c r="Y10" s="2768"/>
      <c r="Z10" s="2901"/>
      <c r="AA10" s="2768"/>
      <c r="AB10" s="2768"/>
      <c r="AC10" s="2950"/>
      <c r="AD10" s="2853"/>
      <c r="AE10" s="2964"/>
      <c r="AF10" s="2768"/>
      <c r="AG10" s="232"/>
      <c r="AH10" s="352"/>
      <c r="AI10" s="352" t="s">
        <v>512</v>
      </c>
      <c r="AJ10" s="1320"/>
      <c r="AK10" s="1320"/>
      <c r="AL10" s="1320"/>
      <c r="AM10" s="1320"/>
      <c r="AN10" s="1320"/>
      <c r="AO10" s="1423"/>
      <c r="AP10" s="1320"/>
      <c r="AQ10" s="1320"/>
      <c r="AR10" s="1320"/>
      <c r="AS10" s="1320"/>
      <c r="AT10" s="1317"/>
      <c r="AU10" s="2920"/>
      <c r="AW10" s="437"/>
      <c r="AX10" s="437"/>
      <c r="AY10" s="437"/>
      <c r="AZ10" s="437"/>
      <c r="BA10" s="1082">
        <v>0</v>
      </c>
    </row>
    <row r="11" spans="1:53" ht="11.25" hidden="1" customHeight="1">
      <c r="A11" s="1290"/>
      <c r="B11" s="1290"/>
      <c r="C11" s="1290"/>
      <c r="D11" s="1290"/>
      <c r="E11" s="2897"/>
      <c r="F11" s="2897"/>
      <c r="G11" s="2897"/>
      <c r="H11" s="2897"/>
      <c r="I11" s="2899"/>
      <c r="J11" s="2899"/>
      <c r="K11" s="2898"/>
      <c r="L11" s="1291"/>
      <c r="P11" s="2900"/>
      <c r="Q11" s="2900"/>
      <c r="R11" s="2957"/>
      <c r="S11" s="2956"/>
      <c r="T11" s="2953"/>
      <c r="U11" s="238"/>
      <c r="V11" s="1320"/>
      <c r="W11" s="1323" t="str">
        <f>X8&amp;"-"&amp;Z8</f>
        <v>-</v>
      </c>
      <c r="X11" s="2902"/>
      <c r="Y11" s="2768"/>
      <c r="Z11" s="2902"/>
      <c r="AA11" s="2768"/>
      <c r="AB11" s="2768"/>
      <c r="AC11" s="250"/>
      <c r="AD11" s="252"/>
      <c r="AE11" s="352" t="s">
        <v>513</v>
      </c>
      <c r="AF11" s="1320"/>
      <c r="AG11" s="1320"/>
      <c r="AH11" s="1320"/>
      <c r="AI11" s="1320"/>
      <c r="AJ11" s="1320"/>
      <c r="AK11" s="1320"/>
      <c r="AL11" s="1320"/>
      <c r="AM11" s="1320"/>
      <c r="AN11" s="1320"/>
      <c r="AO11" s="1321" t="str">
        <f>AP8&amp;"-"&amp;AR8</f>
        <v>-</v>
      </c>
      <c r="AP11" s="1320"/>
      <c r="AQ11" s="1320"/>
      <c r="AR11" s="1320"/>
      <c r="AS11" s="1320"/>
      <c r="AT11" s="1276"/>
      <c r="AU11" s="2920"/>
      <c r="AW11" s="437"/>
      <c r="AX11" s="437" t="str">
        <f t="shared" ref="AX11:AX17" si="1">IF(T11="","",T11)</f>
        <v/>
      </c>
      <c r="AY11" s="437"/>
      <c r="AZ11" s="437"/>
      <c r="BA11" s="1082">
        <v>0</v>
      </c>
    </row>
    <row r="12" spans="1:53" ht="11.25" hidden="1" customHeight="1">
      <c r="A12" s="1290"/>
      <c r="B12" s="1290"/>
      <c r="C12" s="1290"/>
      <c r="D12" s="1290"/>
      <c r="E12" s="2897"/>
      <c r="F12" s="2897"/>
      <c r="G12" s="2897"/>
      <c r="H12" s="2897"/>
      <c r="I12" s="2899"/>
      <c r="J12" s="2898"/>
      <c r="K12" s="1290"/>
      <c r="L12" s="1291"/>
      <c r="P12" s="2900"/>
      <c r="Q12" s="2900"/>
      <c r="R12" s="293"/>
      <c r="S12" s="1205"/>
      <c r="T12" s="225" t="s">
        <v>514</v>
      </c>
      <c r="U12" s="304"/>
      <c r="V12" s="304"/>
      <c r="W12" s="304"/>
      <c r="X12" s="304"/>
      <c r="Y12" s="304"/>
      <c r="Z12" s="304"/>
      <c r="AA12" s="304"/>
      <c r="AB12" s="304"/>
      <c r="AC12" s="304"/>
      <c r="AD12" s="304"/>
      <c r="AE12" s="304"/>
      <c r="AF12" s="304"/>
      <c r="AG12" s="304"/>
      <c r="AH12" s="304"/>
      <c r="AI12" s="304"/>
      <c r="AJ12" s="304"/>
      <c r="AK12" s="304"/>
      <c r="AL12" s="304"/>
      <c r="AM12" s="304"/>
      <c r="AN12" s="304"/>
      <c r="AO12" s="304"/>
      <c r="AP12" s="304"/>
      <c r="AQ12" s="304"/>
      <c r="AR12" s="304"/>
      <c r="AS12" s="304"/>
      <c r="AT12" s="262"/>
      <c r="AU12" s="2921"/>
      <c r="AW12" s="437"/>
      <c r="AX12" s="437" t="str">
        <f t="shared" si="1"/>
        <v>Добавить строку</v>
      </c>
      <c r="AY12" s="437"/>
      <c r="AZ12" s="437"/>
      <c r="BA12" s="1082">
        <v>0</v>
      </c>
    </row>
    <row r="13" spans="1:53" s="1569" customFormat="1" ht="0.75" hidden="1" customHeight="1">
      <c r="A13" s="1270"/>
      <c r="B13" s="1270"/>
      <c r="C13" s="1270"/>
      <c r="D13" s="1270"/>
      <c r="E13" s="2897"/>
      <c r="F13" s="2897"/>
      <c r="G13" s="2897"/>
      <c r="H13" s="2897"/>
      <c r="I13" s="2898"/>
      <c r="J13" s="1270"/>
      <c r="K13" s="1270"/>
      <c r="L13" s="1273"/>
      <c r="M13" s="447"/>
      <c r="N13" s="447"/>
      <c r="O13" s="447"/>
      <c r="P13" s="2900"/>
      <c r="Q13" s="1258"/>
      <c r="R13" s="293"/>
      <c r="S13" s="1313"/>
      <c r="T13" s="1314"/>
      <c r="U13" s="1315"/>
      <c r="V13" s="1315"/>
      <c r="W13" s="1315"/>
      <c r="X13" s="1315"/>
      <c r="Y13" s="1315"/>
      <c r="Z13" s="1315"/>
      <c r="AA13" s="1315"/>
      <c r="AB13" s="1315"/>
      <c r="AC13" s="1315"/>
      <c r="AD13" s="1315"/>
      <c r="AE13" s="1315"/>
      <c r="AF13" s="1315"/>
      <c r="AG13" s="1315"/>
      <c r="AH13" s="1315"/>
      <c r="AI13" s="1315"/>
      <c r="AJ13" s="1315"/>
      <c r="AK13" s="1315"/>
      <c r="AL13" s="1315"/>
      <c r="AM13" s="1315"/>
      <c r="AN13" s="1315"/>
      <c r="AO13" s="1315"/>
      <c r="AP13" s="1315"/>
      <c r="AQ13" s="1315"/>
      <c r="AR13" s="1315"/>
      <c r="AS13" s="1315"/>
      <c r="AT13" s="1315"/>
      <c r="AU13" s="1316"/>
      <c r="AW13" s="437"/>
      <c r="AX13" s="437" t="str">
        <f t="shared" si="1"/>
        <v/>
      </c>
      <c r="AY13" s="437"/>
      <c r="AZ13" s="437"/>
      <c r="BA13" s="448">
        <v>0</v>
      </c>
    </row>
    <row r="14" spans="1:53" s="1569" customFormat="1" ht="0.75" hidden="1" customHeight="1">
      <c r="A14" s="1270"/>
      <c r="B14" s="1270"/>
      <c r="C14" s="1270"/>
      <c r="D14" s="1270"/>
      <c r="E14" s="2897"/>
      <c r="F14" s="2897"/>
      <c r="G14" s="2897"/>
      <c r="H14" s="2896"/>
      <c r="I14" s="1270"/>
      <c r="J14" s="1270"/>
      <c r="K14" s="1270"/>
      <c r="L14" s="1273"/>
      <c r="M14" s="1242"/>
      <c r="N14" s="1242"/>
      <c r="O14" s="455"/>
      <c r="P14" s="317"/>
      <c r="Q14" s="1271"/>
      <c r="R14" s="1328"/>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6"/>
      <c r="AW14" s="437"/>
      <c r="AX14" s="437" t="str">
        <f t="shared" si="1"/>
        <v/>
      </c>
      <c r="AY14" s="437"/>
      <c r="AZ14" s="437"/>
      <c r="BA14" s="448">
        <v>0</v>
      </c>
    </row>
    <row r="15" spans="1:53" s="1569" customFormat="1" ht="0.75" hidden="1" customHeight="1">
      <c r="A15" s="1270"/>
      <c r="B15" s="1270"/>
      <c r="C15" s="1270"/>
      <c r="D15" s="1241"/>
      <c r="E15" s="2897"/>
      <c r="F15" s="2897"/>
      <c r="G15" s="2896"/>
      <c r="H15" s="1241"/>
      <c r="I15" s="1241"/>
      <c r="J15" s="1241"/>
      <c r="K15" s="1241"/>
      <c r="L15" s="1266"/>
      <c r="M15" s="1242"/>
      <c r="N15" s="1242"/>
      <c r="P15" s="1243"/>
      <c r="Q15" s="1244"/>
      <c r="R15" s="1243"/>
      <c r="S15" s="1249"/>
      <c r="T15" s="1252" t="s">
        <v>174</v>
      </c>
      <c r="U15" s="1251"/>
      <c r="V15" s="1251"/>
      <c r="W15" s="1251"/>
      <c r="X15" s="1251"/>
      <c r="Y15" s="1251"/>
      <c r="Z15" s="1251"/>
      <c r="AA15" s="1251"/>
      <c r="AB15" s="1251"/>
      <c r="AC15" s="1251"/>
      <c r="AD15" s="1251"/>
      <c r="AE15" s="1251"/>
      <c r="AF15" s="1251"/>
      <c r="AG15" s="1251"/>
      <c r="AH15" s="1251"/>
      <c r="AI15" s="1251"/>
      <c r="AJ15" s="1251"/>
      <c r="AK15" s="1251"/>
      <c r="AL15" s="1251"/>
      <c r="AM15" s="1251"/>
      <c r="AN15" s="1251"/>
      <c r="AO15" s="1251"/>
      <c r="AP15" s="1251"/>
      <c r="AQ15" s="1251"/>
      <c r="AR15" s="1251"/>
      <c r="AS15" s="1251"/>
      <c r="AT15" s="1251"/>
      <c r="AU15" s="1251"/>
      <c r="AW15" s="720"/>
      <c r="AX15" s="720" t="str">
        <f t="shared" si="1"/>
        <v>Добавить источник для дифференциации</v>
      </c>
      <c r="AY15" s="720"/>
      <c r="AZ15" s="720"/>
      <c r="BA15" s="455">
        <v>0</v>
      </c>
    </row>
    <row r="16" spans="1:53" s="1569" customFormat="1" ht="0.75" hidden="1" customHeight="1">
      <c r="A16" s="1270"/>
      <c r="B16" s="1270"/>
      <c r="C16" s="1241"/>
      <c r="D16" s="1241"/>
      <c r="E16" s="2897"/>
      <c r="F16" s="2896"/>
      <c r="G16" s="1241"/>
      <c r="H16" s="1241"/>
      <c r="I16" s="1241"/>
      <c r="J16" s="1241"/>
      <c r="K16" s="1241"/>
      <c r="L16" s="1266"/>
      <c r="M16" s="1248"/>
      <c r="N16" s="1248"/>
      <c r="P16" s="1243"/>
      <c r="Q16" s="1244"/>
      <c r="R16" s="1243"/>
      <c r="S16" s="1249"/>
      <c r="T16" s="1252" t="s">
        <v>176</v>
      </c>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W16" s="720"/>
      <c r="AX16" s="720" t="str">
        <f t="shared" si="1"/>
        <v>Добавить централизованную систему для дифференциации</v>
      </c>
      <c r="AY16" s="720"/>
      <c r="AZ16" s="720"/>
      <c r="BA16" s="455">
        <v>0</v>
      </c>
    </row>
    <row r="17" spans="1:53" s="1569" customFormat="1" ht="0.75" hidden="1" customHeight="1">
      <c r="A17" s="1270"/>
      <c r="B17" s="1270"/>
      <c r="C17" s="1270"/>
      <c r="D17" s="1270"/>
      <c r="E17" s="2896"/>
      <c r="F17" s="1270"/>
      <c r="G17" s="1270"/>
      <c r="H17" s="1270"/>
      <c r="I17" s="1270"/>
      <c r="J17" s="1270"/>
      <c r="K17" s="1270"/>
      <c r="L17" s="1273"/>
      <c r="M17" s="1248"/>
      <c r="N17" s="1248"/>
      <c r="O17" s="455"/>
      <c r="P17" s="317"/>
      <c r="Q17" s="1271"/>
      <c r="R17" s="317"/>
      <c r="S17" s="1249"/>
      <c r="T17" s="1252" t="s">
        <v>178</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W17" s="437"/>
      <c r="AX17" s="437" t="str">
        <f t="shared" si="1"/>
        <v>Добавить территорию для дифференциации</v>
      </c>
      <c r="AY17" s="437"/>
      <c r="AZ17" s="437"/>
      <c r="BA17" s="448">
        <v>0</v>
      </c>
    </row>
    <row r="18" spans="1:53" ht="14.25" hidden="1" customHeight="1">
      <c r="AA18" s="265"/>
      <c r="AS18" s="265"/>
      <c r="BA18" s="1082">
        <v>0</v>
      </c>
    </row>
    <row r="19" spans="1:53" ht="14.25" hidden="1" customHeight="1">
      <c r="AB19" s="1251" t="s">
        <v>19</v>
      </c>
      <c r="AC19" s="1428"/>
      <c r="AD19" s="485">
        <v>1</v>
      </c>
      <c r="AE19" s="1429"/>
      <c r="AF19" s="1251" t="s">
        <v>19</v>
      </c>
      <c r="AG19" s="1428"/>
      <c r="AH19" s="485">
        <v>1</v>
      </c>
      <c r="AI19" s="1429"/>
      <c r="AJ19" s="1251" t="s">
        <v>19</v>
      </c>
      <c r="AK19" s="1430"/>
      <c r="AL19" s="485">
        <v>1</v>
      </c>
      <c r="AM19" s="1433"/>
      <c r="AN19" s="1330"/>
      <c r="AO19" s="1331"/>
      <c r="AP19" s="1662"/>
      <c r="AQ19" s="1387" t="s">
        <v>71</v>
      </c>
      <c r="AR19" s="1662"/>
      <c r="AS19" s="1387" t="s">
        <v>71</v>
      </c>
      <c r="BA19" s="1082">
        <v>0</v>
      </c>
    </row>
    <row r="20" spans="1:53" ht="14.25" hidden="1" customHeight="1">
      <c r="AV20" s="433"/>
      <c r="AW20" s="433"/>
      <c r="AX20" s="433"/>
      <c r="AY20" s="433"/>
      <c r="AZ20" s="433"/>
      <c r="BA20" s="1082">
        <v>0</v>
      </c>
    </row>
    <row r="21" spans="1:53" ht="14.25" hidden="1" customHeight="1">
      <c r="O21" s="1294" t="s">
        <v>459</v>
      </c>
      <c r="X21" s="1272"/>
      <c r="Z21" s="1272"/>
      <c r="AA21" s="265"/>
      <c r="AP21" s="1272"/>
      <c r="AR21" s="1272"/>
      <c r="AS21" s="265"/>
      <c r="AV21" s="433"/>
      <c r="AW21" s="433"/>
      <c r="AX21" s="433"/>
      <c r="AY21" s="433"/>
      <c r="AZ21" s="433"/>
      <c r="BA21" s="1082">
        <v>0</v>
      </c>
    </row>
    <row r="22" spans="1:53" ht="14.25" hidden="1" customHeight="1">
      <c r="AA22" s="265"/>
      <c r="AS22" s="265"/>
      <c r="AV22" s="433"/>
      <c r="AW22" s="433"/>
      <c r="AX22" s="433"/>
      <c r="AY22" s="433"/>
      <c r="AZ22" s="433"/>
      <c r="BA22" s="1082">
        <v>0</v>
      </c>
    </row>
    <row r="23" spans="1:53" s="1436" customFormat="1" ht="14.25" hidden="1" customHeight="1">
      <c r="M23" s="1435"/>
      <c r="N23" s="1435"/>
      <c r="O23" s="1436" t="s">
        <v>460</v>
      </c>
      <c r="P23" s="1435"/>
      <c r="Q23" s="1437"/>
      <c r="R23" s="1437"/>
      <c r="Y23" s="1434" t="s">
        <v>462</v>
      </c>
      <c r="AA23" s="1434" t="s">
        <v>463</v>
      </c>
      <c r="AB23" s="1434" t="s">
        <v>515</v>
      </c>
      <c r="AE23" s="1434" t="s">
        <v>516</v>
      </c>
      <c r="AF23" s="1434" t="s">
        <v>515</v>
      </c>
      <c r="AI23" s="1434" t="s">
        <v>517</v>
      </c>
      <c r="AJ23" s="1434" t="s">
        <v>515</v>
      </c>
      <c r="AM23" s="1434" t="s">
        <v>518</v>
      </c>
      <c r="AQ23" s="1434" t="s">
        <v>462</v>
      </c>
      <c r="AS23" s="1434" t="s">
        <v>463</v>
      </c>
      <c r="AV23" s="1438"/>
      <c r="AW23" s="1438"/>
      <c r="AX23" s="1438"/>
      <c r="AY23" s="1438"/>
      <c r="AZ23" s="1438"/>
      <c r="BA23" s="1434">
        <v>0</v>
      </c>
    </row>
    <row r="24" spans="1:53" ht="14.25" hidden="1" customHeight="1">
      <c r="O24" s="1291"/>
      <c r="AV24" s="433"/>
      <c r="AW24" s="433"/>
      <c r="AX24" s="433"/>
      <c r="AY24" s="433"/>
      <c r="AZ24" s="433"/>
      <c r="BA24" s="1082">
        <v>0</v>
      </c>
    </row>
    <row r="25" spans="1:53" ht="14.25" hidden="1" customHeight="1">
      <c r="O25" s="1291"/>
      <c r="AV25" s="433"/>
      <c r="AW25" s="433"/>
      <c r="AX25" s="433"/>
      <c r="AY25" s="433"/>
      <c r="AZ25" s="433"/>
      <c r="BA25" s="1082">
        <v>0</v>
      </c>
    </row>
    <row r="26" spans="1:53" ht="15" customHeight="1">
      <c r="Q26" s="229"/>
      <c r="R26" s="313"/>
      <c r="S26" s="1202"/>
      <c r="T26" s="300"/>
      <c r="U26" s="300"/>
      <c r="V26" s="446"/>
      <c r="W26" s="446"/>
      <c r="X26" s="446"/>
      <c r="Y26" s="446"/>
      <c r="Z26" s="446"/>
      <c r="AA26" s="446"/>
      <c r="AB26" s="446"/>
      <c r="AC26" s="446"/>
      <c r="AD26" s="446"/>
      <c r="AE26" s="446"/>
      <c r="AF26" s="446"/>
      <c r="AG26" s="446"/>
      <c r="AH26" s="446"/>
      <c r="AI26" s="446"/>
      <c r="AJ26" s="446"/>
      <c r="AK26" s="446"/>
      <c r="AL26" s="446"/>
      <c r="AM26" s="446"/>
      <c r="AN26" s="446"/>
      <c r="AO26" s="446"/>
      <c r="AP26" s="446"/>
      <c r="AQ26" s="446"/>
      <c r="AR26" s="446"/>
      <c r="AS26" s="446"/>
      <c r="BA26" s="1082">
        <v>14</v>
      </c>
    </row>
    <row r="27" spans="1:53" ht="27" customHeight="1">
      <c r="Q27" s="229"/>
      <c r="R27" s="313"/>
      <c r="S27" s="287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7" s="2877"/>
      <c r="U27" s="2877"/>
      <c r="V27" s="2877"/>
      <c r="W27" s="2877"/>
      <c r="X27" s="2877"/>
      <c r="Y27" s="2877"/>
      <c r="Z27" s="2877"/>
      <c r="AA27" s="2877"/>
      <c r="AB27" s="2877"/>
      <c r="AC27" s="2877"/>
      <c r="AD27" s="2877"/>
      <c r="AE27" s="2877"/>
      <c r="AF27" s="2877"/>
      <c r="AG27" s="2877"/>
      <c r="AH27" s="2877"/>
      <c r="AI27" s="2877"/>
      <c r="AJ27" s="2877"/>
      <c r="AK27" s="2877"/>
      <c r="AL27" s="2877"/>
      <c r="AM27" s="2877"/>
      <c r="AN27" s="2877"/>
      <c r="AO27" s="2877"/>
      <c r="AP27" s="2877"/>
      <c r="AQ27" s="2877"/>
      <c r="AR27" s="2877"/>
      <c r="AS27" s="1170"/>
      <c r="BA27" s="1082">
        <v>26</v>
      </c>
    </row>
    <row r="28" spans="1:53" ht="15" customHeight="1">
      <c r="Q28" s="229"/>
      <c r="R28" s="313"/>
      <c r="S28" s="2849" t="str">
        <f>IF(org=0,"Не определено",org)</f>
        <v>ТМУП "ТТС"</v>
      </c>
      <c r="T28" s="2849"/>
      <c r="U28" s="2849"/>
      <c r="V28" s="2849"/>
      <c r="W28" s="2849"/>
      <c r="X28" s="2849"/>
      <c r="Y28" s="2849"/>
      <c r="Z28" s="2849"/>
      <c r="AA28" s="2849"/>
      <c r="AB28" s="2849"/>
      <c r="AC28" s="2849"/>
      <c r="AD28" s="2849"/>
      <c r="AE28" s="2849"/>
      <c r="AF28" s="2849"/>
      <c r="AG28" s="2849"/>
      <c r="AH28" s="2849"/>
      <c r="AI28" s="2849"/>
      <c r="AJ28" s="2849"/>
      <c r="AK28" s="2849"/>
      <c r="AL28" s="2849"/>
      <c r="AM28" s="2849"/>
      <c r="AN28" s="2849"/>
      <c r="AO28" s="2849"/>
      <c r="AP28" s="2849"/>
      <c r="AQ28" s="2849"/>
      <c r="AR28" s="2849"/>
      <c r="AS28" s="1170"/>
      <c r="BA28" s="1082">
        <v>14</v>
      </c>
    </row>
    <row r="29" spans="1:53" ht="14.25" hidden="1" customHeight="1">
      <c r="Q29" s="229"/>
      <c r="R29" s="313"/>
      <c r="S29" s="1202"/>
      <c r="T29" s="300"/>
      <c r="U29" s="300"/>
      <c r="V29" s="260"/>
      <c r="W29" s="260"/>
      <c r="X29" s="260"/>
      <c r="Y29" s="260"/>
      <c r="Z29" s="260"/>
      <c r="AA29" s="260"/>
      <c r="AB29" s="260"/>
      <c r="AC29" s="260"/>
      <c r="AD29" s="260"/>
      <c r="AE29" s="260"/>
      <c r="AF29" s="260"/>
      <c r="AG29" s="260"/>
      <c r="AH29" s="260"/>
      <c r="AI29" s="260"/>
      <c r="AJ29" s="260"/>
      <c r="AK29" s="260"/>
      <c r="AL29" s="260"/>
      <c r="AM29" s="260"/>
      <c r="AN29" s="260"/>
      <c r="AO29" s="260"/>
      <c r="AP29" s="260"/>
      <c r="AQ29" s="260"/>
      <c r="AR29" s="260"/>
      <c r="AS29" s="260"/>
      <c r="AT29" s="446"/>
      <c r="BA29" s="1082">
        <v>0</v>
      </c>
    </row>
    <row r="30" spans="1:53" s="1778" customFormat="1" ht="25.5" hidden="1" customHeight="1">
      <c r="A30" s="1295"/>
      <c r="B30" s="1295"/>
      <c r="C30" s="1295"/>
      <c r="D30" s="1295"/>
      <c r="E30" s="1295"/>
      <c r="F30" s="1295"/>
      <c r="G30" s="1295"/>
      <c r="H30" s="1295"/>
      <c r="I30" s="1295"/>
      <c r="J30" s="1295"/>
      <c r="K30" s="1295"/>
      <c r="L30" s="1296"/>
      <c r="M30" s="1295"/>
      <c r="N30" s="1295"/>
      <c r="O30" s="1295"/>
      <c r="P30" s="1295"/>
      <c r="Q30" s="1295"/>
      <c r="S30" s="2887" t="s">
        <v>46</v>
      </c>
      <c r="T30" s="2887"/>
      <c r="U30" s="1299"/>
      <c r="V30" s="2889" t="str">
        <f>IF(TITLE_NAME_OR_PR_CHANGE="",IF(TITLE_NAME_OR_PR="","",TITLE_NAME_OR_PR),TITLE_NAME_OR_PR_CHANGE)</f>
        <v/>
      </c>
      <c r="W30" s="2889"/>
      <c r="X30" s="2889"/>
      <c r="Y30" s="2889"/>
      <c r="Z30" s="2889"/>
      <c r="AA30" s="264"/>
      <c r="AB30" s="2889" t="str">
        <f>IF(TITLE_NAME_OR_PR_CHANGE="",IF(TITLE_NAME_OR_PR="","",TITLE_NAME_OR_PR),TITLE_NAME_OR_PR_CHANGE)</f>
        <v/>
      </c>
      <c r="AC30" s="2889"/>
      <c r="AD30" s="2889"/>
      <c r="AE30" s="2889"/>
      <c r="AF30" s="2889"/>
      <c r="AG30" s="2889"/>
      <c r="AH30" s="2889"/>
      <c r="AI30" s="2889"/>
      <c r="AJ30" s="2889"/>
      <c r="AK30" s="2889"/>
      <c r="AL30" s="2889"/>
      <c r="AM30" s="2889"/>
      <c r="AN30" s="2889"/>
      <c r="AO30" s="2889"/>
      <c r="AP30" s="2889"/>
      <c r="AQ30" s="2889"/>
      <c r="AR30" s="2889"/>
      <c r="AS30" s="264"/>
      <c r="AT30" s="264"/>
      <c r="AU30" s="218"/>
      <c r="AV30" s="305"/>
      <c r="AW30" s="305"/>
      <c r="AX30" s="305"/>
      <c r="AY30" s="305"/>
      <c r="AZ30" s="305"/>
      <c r="BA30" s="355">
        <v>0</v>
      </c>
    </row>
    <row r="31" spans="1:53" s="1778" customFormat="1" ht="18.75" hidden="1" customHeight="1">
      <c r="A31" s="1295"/>
      <c r="B31" s="1295"/>
      <c r="C31" s="1295"/>
      <c r="D31" s="1295"/>
      <c r="E31" s="1295"/>
      <c r="F31" s="1295"/>
      <c r="G31" s="1295"/>
      <c r="H31" s="1295"/>
      <c r="I31" s="1295"/>
      <c r="J31" s="1295"/>
      <c r="K31" s="1295"/>
      <c r="L31" s="1296"/>
      <c r="M31" s="1295"/>
      <c r="N31" s="1295"/>
      <c r="O31" s="1295"/>
      <c r="P31" s="1295"/>
      <c r="Q31" s="1295"/>
      <c r="S31" s="2887" t="s">
        <v>465</v>
      </c>
      <c r="T31" s="2887"/>
      <c r="U31" s="1299"/>
      <c r="V31" s="2888" t="str">
        <f>IF(TITLE_DATE_PR_CHANGE="",IF(TITLE_DATE_PR="","",TITLE_DATE_PR),TITLE_DATE_PR_CHANGE)</f>
        <v>14.11.2024</v>
      </c>
      <c r="W31" s="2888"/>
      <c r="X31" s="2888"/>
      <c r="Y31" s="2888"/>
      <c r="Z31" s="2888"/>
      <c r="AA31" s="264"/>
      <c r="AB31" s="2888" t="str">
        <f>IF(TITLE_DATE_PR_CHANGE="",IF(TITLE_DATE_PR="","",TITLE_DATE_PR),TITLE_DATE_PR_CHANGE)</f>
        <v>14.11.2024</v>
      </c>
      <c r="AC31" s="2888"/>
      <c r="AD31" s="2888"/>
      <c r="AE31" s="2888"/>
      <c r="AF31" s="2888"/>
      <c r="AG31" s="2888"/>
      <c r="AH31" s="2888"/>
      <c r="AI31" s="2888"/>
      <c r="AJ31" s="2888"/>
      <c r="AK31" s="2888"/>
      <c r="AL31" s="2888"/>
      <c r="AM31" s="2888"/>
      <c r="AN31" s="2888"/>
      <c r="AO31" s="2888"/>
      <c r="AP31" s="2888"/>
      <c r="AQ31" s="2888"/>
      <c r="AR31" s="2888"/>
      <c r="AS31" s="264"/>
      <c r="AT31" s="264"/>
      <c r="AU31" s="218"/>
      <c r="AV31" s="305"/>
      <c r="AW31" s="305"/>
      <c r="AX31" s="305"/>
      <c r="AY31" s="305"/>
      <c r="AZ31" s="305"/>
      <c r="BA31" s="355">
        <v>0</v>
      </c>
    </row>
    <row r="32" spans="1:53"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887" t="s">
        <v>466</v>
      </c>
      <c r="T32" s="2887"/>
      <c r="U32" s="1299"/>
      <c r="V32" s="2889" t="str">
        <f>IF(TITLE_NUMBER_PR_CHANGE="",IF(TITLE_NUMBER_PR="","",TITLE_NUMBER_PR),TITLE_NUMBER_PR_CHANGE)</f>
        <v>947 от 12.11.2024</v>
      </c>
      <c r="W32" s="2889"/>
      <c r="X32" s="2889"/>
      <c r="Y32" s="2889"/>
      <c r="Z32" s="2889"/>
      <c r="AA32" s="264"/>
      <c r="AB32" s="2889" t="str">
        <f>IF(TITLE_NUMBER_PR_CHANGE="",IF(TITLE_NUMBER_PR="","",TITLE_NUMBER_PR),TITLE_NUMBER_PR_CHANGE)</f>
        <v>947 от 12.11.2024</v>
      </c>
      <c r="AC32" s="2889"/>
      <c r="AD32" s="2889"/>
      <c r="AE32" s="2889"/>
      <c r="AF32" s="2889"/>
      <c r="AG32" s="2889"/>
      <c r="AH32" s="2889"/>
      <c r="AI32" s="2889"/>
      <c r="AJ32" s="2889"/>
      <c r="AK32" s="2889"/>
      <c r="AL32" s="2889"/>
      <c r="AM32" s="2889"/>
      <c r="AN32" s="2889"/>
      <c r="AO32" s="2889"/>
      <c r="AP32" s="2889"/>
      <c r="AQ32" s="2889"/>
      <c r="AR32" s="2889"/>
      <c r="AS32" s="264"/>
      <c r="AT32" s="264"/>
      <c r="AU32" s="218"/>
      <c r="AV32" s="305"/>
      <c r="AW32" s="305"/>
      <c r="AX32" s="305"/>
      <c r="AY32" s="305"/>
      <c r="AZ32" s="305"/>
      <c r="BA32" s="355">
        <v>0</v>
      </c>
    </row>
    <row r="33" spans="1:53"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887" t="s">
        <v>47</v>
      </c>
      <c r="T33" s="2887"/>
      <c r="U33" s="1299"/>
      <c r="V33" s="2889" t="str">
        <f>IF(TITLE_IST_PUB_CHANGE="",IF(TITLE_IST_PUB="","",TITLE_IST_PUB),TITLE_IST_PUB_CHANGE)</f>
        <v/>
      </c>
      <c r="W33" s="2889"/>
      <c r="X33" s="2889"/>
      <c r="Y33" s="2889"/>
      <c r="Z33" s="2889"/>
      <c r="AA33" s="264"/>
      <c r="AB33" s="2889" t="str">
        <f>IF(TITLE_IST_PUB_CHANGE="",IF(TITLE_IST_PUB="","",TITLE_IST_PUB),TITLE_IST_PUB_CHANGE)</f>
        <v/>
      </c>
      <c r="AC33" s="2889"/>
      <c r="AD33" s="2889"/>
      <c r="AE33" s="2889"/>
      <c r="AF33" s="2889"/>
      <c r="AG33" s="2889"/>
      <c r="AH33" s="2889"/>
      <c r="AI33" s="2889"/>
      <c r="AJ33" s="2889"/>
      <c r="AK33" s="2889"/>
      <c r="AL33" s="2889"/>
      <c r="AM33" s="2889"/>
      <c r="AN33" s="2889"/>
      <c r="AO33" s="2889"/>
      <c r="AP33" s="2889"/>
      <c r="AQ33" s="2889"/>
      <c r="AR33" s="2889"/>
      <c r="AS33" s="264"/>
      <c r="AT33" s="264"/>
      <c r="AU33" s="218"/>
      <c r="AV33" s="305"/>
      <c r="AW33" s="305"/>
      <c r="AX33" s="305"/>
      <c r="AY33" s="305"/>
      <c r="AZ33" s="305"/>
      <c r="BA33" s="355">
        <v>0</v>
      </c>
    </row>
    <row r="34" spans="1:53" ht="14.25" customHeight="1">
      <c r="Q34" s="229"/>
      <c r="R34" s="313"/>
      <c r="S34" s="1202"/>
      <c r="T34" s="300"/>
      <c r="U34" s="300"/>
      <c r="V34" s="260"/>
      <c r="W34" s="260"/>
      <c r="X34" s="260"/>
      <c r="Y34" s="260"/>
      <c r="Z34" s="260"/>
      <c r="AA34" s="260"/>
      <c r="AB34" s="260"/>
      <c r="AC34" s="260"/>
      <c r="AD34" s="260"/>
      <c r="AE34" s="260"/>
      <c r="AF34" s="260"/>
      <c r="AG34" s="260"/>
      <c r="AH34" s="260"/>
      <c r="AI34" s="260"/>
      <c r="AJ34" s="260"/>
      <c r="AK34" s="260"/>
      <c r="AL34" s="260"/>
      <c r="AM34" s="260"/>
      <c r="AN34" s="260"/>
      <c r="AO34" s="260"/>
      <c r="AP34" s="260"/>
      <c r="AQ34" s="260"/>
      <c r="AR34" s="260"/>
      <c r="AS34" s="260"/>
      <c r="AT34" s="446"/>
      <c r="BA34" s="1082">
        <v>0</v>
      </c>
    </row>
    <row r="35" spans="1:53" s="1778" customFormat="1" ht="18.75" customHeight="1">
      <c r="A35" s="1295"/>
      <c r="B35" s="1295"/>
      <c r="C35" s="1295"/>
      <c r="D35" s="1295"/>
      <c r="E35" s="1295"/>
      <c r="F35" s="1295"/>
      <c r="G35" s="1295"/>
      <c r="H35" s="1295"/>
      <c r="I35" s="1295"/>
      <c r="J35" s="1295"/>
      <c r="K35" s="1295"/>
      <c r="L35" s="1296"/>
      <c r="M35" s="1295"/>
      <c r="N35" s="1295"/>
      <c r="O35" s="1295"/>
      <c r="P35" s="1295"/>
      <c r="Q35" s="1295"/>
      <c r="S35" s="2887" t="s">
        <v>465</v>
      </c>
      <c r="T35" s="2887"/>
      <c r="U35" s="1299"/>
      <c r="V35" s="2888" t="str">
        <f>IF(TITLE_DATE_PR_CHANGE="",IF(TITLE_DATE_PR="","",TITLE_DATE_PR),TITLE_DATE_PR_CHANGE)</f>
        <v>14.11.2024</v>
      </c>
      <c r="W35" s="2888"/>
      <c r="X35" s="2888"/>
      <c r="Y35" s="2888"/>
      <c r="Z35" s="2888"/>
      <c r="AA35" s="264"/>
      <c r="AB35" s="2888" t="str">
        <f>IF(TITLE_DATE_PR_CHANGE="",IF(TITLE_DATE_PR="","",TITLE_DATE_PR),TITLE_DATE_PR_CHANGE)</f>
        <v>14.11.2024</v>
      </c>
      <c r="AC35" s="2888"/>
      <c r="AD35" s="2888"/>
      <c r="AE35" s="2888"/>
      <c r="AF35" s="2888"/>
      <c r="AG35" s="2888"/>
      <c r="AH35" s="2888"/>
      <c r="AI35" s="2888"/>
      <c r="AJ35" s="2888"/>
      <c r="AK35" s="2888"/>
      <c r="AL35" s="2888"/>
      <c r="AM35" s="2888"/>
      <c r="AN35" s="2888"/>
      <c r="AO35" s="2888"/>
      <c r="AP35" s="2888"/>
      <c r="AQ35" s="2888"/>
      <c r="AR35" s="2888"/>
      <c r="AS35" s="264"/>
      <c r="AT35" s="264"/>
      <c r="AU35" s="218"/>
      <c r="AV35" s="305"/>
      <c r="AW35" s="305"/>
      <c r="AX35" s="305"/>
      <c r="AY35" s="305"/>
      <c r="AZ35" s="305"/>
      <c r="BA35" s="355">
        <v>0</v>
      </c>
    </row>
    <row r="36" spans="1:53" s="1778" customFormat="1" ht="18" customHeight="1">
      <c r="A36" s="1295"/>
      <c r="B36" s="1295"/>
      <c r="C36" s="1295"/>
      <c r="D36" s="1295"/>
      <c r="E36" s="1295"/>
      <c r="F36" s="1295"/>
      <c r="G36" s="1295"/>
      <c r="H36" s="1295"/>
      <c r="I36" s="1295"/>
      <c r="J36" s="1295"/>
      <c r="K36" s="1295"/>
      <c r="L36" s="1296"/>
      <c r="M36" s="1295"/>
      <c r="N36" s="1295"/>
      <c r="O36" s="1295"/>
      <c r="P36" s="1295"/>
      <c r="Q36" s="1295"/>
      <c r="S36" s="2887" t="s">
        <v>466</v>
      </c>
      <c r="T36" s="2887"/>
      <c r="U36" s="1299"/>
      <c r="V36" s="2889" t="str">
        <f>IF(TITLE_NUMBER_PR_CHANGE="",IF(TITLE_NUMBER_PR="","",TITLE_NUMBER_PR),TITLE_NUMBER_PR_CHANGE)</f>
        <v>947 от 12.11.2024</v>
      </c>
      <c r="W36" s="2889"/>
      <c r="X36" s="2889"/>
      <c r="Y36" s="2889"/>
      <c r="Z36" s="2889"/>
      <c r="AA36" s="264"/>
      <c r="AB36" s="2889" t="str">
        <f>IF(TITLE_NUMBER_PR_CHANGE="",IF(TITLE_NUMBER_PR="","",TITLE_NUMBER_PR),TITLE_NUMBER_PR_CHANGE)</f>
        <v>947 от 12.11.2024</v>
      </c>
      <c r="AC36" s="2889"/>
      <c r="AD36" s="2889"/>
      <c r="AE36" s="2889"/>
      <c r="AF36" s="2889"/>
      <c r="AG36" s="2889"/>
      <c r="AH36" s="2889"/>
      <c r="AI36" s="2889"/>
      <c r="AJ36" s="2889"/>
      <c r="AK36" s="2889"/>
      <c r="AL36" s="2889"/>
      <c r="AM36" s="2889"/>
      <c r="AN36" s="2889"/>
      <c r="AO36" s="2889"/>
      <c r="AP36" s="2889"/>
      <c r="AQ36" s="2889"/>
      <c r="AR36" s="2889"/>
      <c r="AS36" s="264"/>
      <c r="AT36" s="264"/>
      <c r="AU36" s="218"/>
      <c r="AV36" s="305"/>
      <c r="AW36" s="305"/>
      <c r="AX36" s="305"/>
      <c r="AY36" s="305"/>
      <c r="AZ36" s="305"/>
      <c r="BA36" s="355">
        <v>0</v>
      </c>
    </row>
    <row r="37" spans="1:53" s="1778" customFormat="1" ht="0.75" customHeight="1">
      <c r="A37" s="1295"/>
      <c r="B37" s="1295"/>
      <c r="C37" s="1295"/>
      <c r="D37" s="1295"/>
      <c r="E37" s="1295"/>
      <c r="F37" s="1295"/>
      <c r="G37" s="1295"/>
      <c r="H37" s="1295"/>
      <c r="I37" s="1295"/>
      <c r="J37" s="1295"/>
      <c r="K37" s="1295"/>
      <c r="L37" s="1296"/>
      <c r="M37" s="1295"/>
      <c r="N37" s="1295"/>
      <c r="O37" s="1295"/>
      <c r="P37" s="1295"/>
      <c r="Q37" s="1295"/>
      <c r="S37" s="261"/>
      <c r="T37" s="261"/>
      <c r="U37" s="1267"/>
      <c r="V37" s="264"/>
      <c r="W37" s="264"/>
      <c r="X37" s="264"/>
      <c r="Y37" s="264"/>
      <c r="Z37" s="264"/>
      <c r="AA37" s="216" t="s">
        <v>469</v>
      </c>
      <c r="AB37" s="264"/>
      <c r="AC37" s="264"/>
      <c r="AD37" s="264"/>
      <c r="AE37" s="264"/>
      <c r="AF37" s="264"/>
      <c r="AG37" s="264"/>
      <c r="AH37" s="264"/>
      <c r="AI37" s="264"/>
      <c r="AJ37" s="264"/>
      <c r="AK37" s="264"/>
      <c r="AL37" s="264"/>
      <c r="AM37" s="264"/>
      <c r="AN37" s="264"/>
      <c r="AO37" s="264"/>
      <c r="AP37" s="264"/>
      <c r="AQ37" s="264"/>
      <c r="AR37" s="264"/>
      <c r="AS37" s="216" t="s">
        <v>469</v>
      </c>
      <c r="AV37" s="305"/>
      <c r="AW37" s="305"/>
      <c r="AX37" s="305"/>
      <c r="AY37" s="305"/>
      <c r="AZ37" s="305"/>
      <c r="BA37" s="355">
        <v>1</v>
      </c>
    </row>
    <row r="38" spans="1:53" ht="15" customHeight="1">
      <c r="Q38" s="229"/>
      <c r="R38" s="313"/>
      <c r="S38" s="1202"/>
      <c r="T38" s="300"/>
      <c r="U38" s="1171"/>
      <c r="V38" s="2908"/>
      <c r="W38" s="2908"/>
      <c r="X38" s="2908"/>
      <c r="Y38" s="2908"/>
      <c r="Z38" s="2908"/>
      <c r="AA38" s="2908"/>
      <c r="AB38" s="2908"/>
      <c r="AC38" s="2908"/>
      <c r="AD38" s="2908"/>
      <c r="AE38" s="2908"/>
      <c r="AF38" s="2908"/>
      <c r="AG38" s="2908"/>
      <c r="AH38" s="2908"/>
      <c r="AI38" s="2908"/>
      <c r="AJ38" s="2908"/>
      <c r="AK38" s="2908"/>
      <c r="AL38" s="2908"/>
      <c r="AM38" s="2908"/>
      <c r="AN38" s="2908"/>
      <c r="AO38" s="2908"/>
      <c r="AP38" s="2908"/>
      <c r="AQ38" s="2908"/>
      <c r="AR38" s="2908"/>
      <c r="AS38" s="2908"/>
      <c r="BA38" s="1082">
        <v>14</v>
      </c>
    </row>
    <row r="39" spans="1:53" ht="15" customHeight="1">
      <c r="Q39" s="229"/>
      <c r="R39" s="313"/>
      <c r="S39" s="2758" t="s">
        <v>345</v>
      </c>
      <c r="T39" s="2758"/>
      <c r="U39" s="2758"/>
      <c r="V39" s="2758"/>
      <c r="W39" s="2758"/>
      <c r="X39" s="2758"/>
      <c r="Y39" s="2758"/>
      <c r="Z39" s="2758"/>
      <c r="AA39" s="2758"/>
      <c r="AB39" s="2829"/>
      <c r="AC39" s="2829"/>
      <c r="AD39" s="2829"/>
      <c r="AE39" s="2829"/>
      <c r="AF39" s="2758"/>
      <c r="AG39" s="2758"/>
      <c r="AH39" s="2758"/>
      <c r="AI39" s="2758"/>
      <c r="AJ39" s="2758"/>
      <c r="AK39" s="2758"/>
      <c r="AL39" s="2758"/>
      <c r="AM39" s="2758"/>
      <c r="AN39" s="2758"/>
      <c r="AO39" s="2758"/>
      <c r="AP39" s="2758"/>
      <c r="AQ39" s="2758"/>
      <c r="AR39" s="2758"/>
      <c r="AS39" s="2758"/>
      <c r="AT39" s="2758"/>
      <c r="AU39" s="2758" t="s">
        <v>346</v>
      </c>
      <c r="BA39" s="1082">
        <v>14</v>
      </c>
    </row>
    <row r="40" spans="1:53" ht="15" customHeight="1">
      <c r="Q40" s="229"/>
      <c r="R40" s="313"/>
      <c r="S40" s="2909" t="s">
        <v>93</v>
      </c>
      <c r="T40" s="2857" t="s">
        <v>519</v>
      </c>
      <c r="U40" s="239"/>
      <c r="V40" s="2911"/>
      <c r="W40" s="2911"/>
      <c r="X40" s="2911"/>
      <c r="Y40" s="2911"/>
      <c r="Z40" s="2912"/>
      <c r="AA40" s="2959" t="s">
        <v>472</v>
      </c>
      <c r="AB40" s="2943" t="s">
        <v>520</v>
      </c>
      <c r="AC40" s="2927"/>
      <c r="AD40" s="2927"/>
      <c r="AE40" s="2944"/>
      <c r="AF40" s="2927" t="s">
        <v>521</v>
      </c>
      <c r="AG40" s="2927"/>
      <c r="AH40" s="2927"/>
      <c r="AI40" s="2944"/>
      <c r="AJ40" s="2943" t="s">
        <v>522</v>
      </c>
      <c r="AK40" s="2927"/>
      <c r="AL40" s="2927"/>
      <c r="AM40" s="2944"/>
      <c r="AN40" s="2943" t="s">
        <v>471</v>
      </c>
      <c r="AO40" s="2927"/>
      <c r="AP40" s="2911"/>
      <c r="AQ40" s="2911"/>
      <c r="AR40" s="2912"/>
      <c r="AS40" s="2913" t="s">
        <v>472</v>
      </c>
      <c r="AT40" s="2916" t="s">
        <v>474</v>
      </c>
      <c r="AU40" s="2758"/>
      <c r="BA40" s="1082">
        <v>14</v>
      </c>
    </row>
    <row r="41" spans="1:53" ht="36" customHeight="1">
      <c r="Q41" s="229"/>
      <c r="R41" s="313"/>
      <c r="S41" s="2909"/>
      <c r="T41" s="2857"/>
      <c r="U41" s="961"/>
      <c r="V41" s="2758" t="s">
        <v>523</v>
      </c>
      <c r="W41" s="2758"/>
      <c r="X41" s="2830" t="s">
        <v>478</v>
      </c>
      <c r="Y41" s="2939"/>
      <c r="Z41" s="2831"/>
      <c r="AA41" s="2960"/>
      <c r="AB41" s="2945"/>
      <c r="AC41" s="2946"/>
      <c r="AD41" s="2946"/>
      <c r="AE41" s="2958"/>
      <c r="AF41" s="2946"/>
      <c r="AG41" s="2946"/>
      <c r="AH41" s="2946"/>
      <c r="AI41" s="2958"/>
      <c r="AJ41" s="2945"/>
      <c r="AK41" s="2946"/>
      <c r="AL41" s="2946"/>
      <c r="AM41" s="2946"/>
      <c r="AN41" s="2758" t="s">
        <v>523</v>
      </c>
      <c r="AO41" s="2758"/>
      <c r="AP41" s="2939" t="s">
        <v>478</v>
      </c>
      <c r="AQ41" s="2939"/>
      <c r="AR41" s="2831"/>
      <c r="AS41" s="2914"/>
      <c r="AT41" s="2917"/>
      <c r="AU41" s="2758"/>
      <c r="BA41" s="1082">
        <v>34</v>
      </c>
    </row>
    <row r="42" spans="1:53" ht="15" customHeight="1">
      <c r="Q42" s="229"/>
      <c r="R42" s="313"/>
      <c r="S42" s="2909"/>
      <c r="T42" s="2857"/>
      <c r="U42" s="961"/>
      <c r="V42" s="2963" t="str">
        <f>IF($AN$42&lt;&gt;"",$AN$42,"")</f>
        <v/>
      </c>
      <c r="W42" s="2963"/>
      <c r="X42" s="2835"/>
      <c r="Y42" s="2940"/>
      <c r="Z42" s="2836"/>
      <c r="AA42" s="2960"/>
      <c r="AB42" s="2945"/>
      <c r="AC42" s="2946"/>
      <c r="AD42" s="2946"/>
      <c r="AE42" s="2958"/>
      <c r="AF42" s="2946"/>
      <c r="AG42" s="2946"/>
      <c r="AH42" s="2946"/>
      <c r="AI42" s="2958"/>
      <c r="AJ42" s="2945"/>
      <c r="AK42" s="2946"/>
      <c r="AL42" s="2946"/>
      <c r="AM42" s="2946"/>
      <c r="AN42" s="2962"/>
      <c r="AO42" s="2962"/>
      <c r="AP42" s="2940"/>
      <c r="AQ42" s="2940"/>
      <c r="AR42" s="2836"/>
      <c r="AS42" s="2914"/>
      <c r="AT42" s="2917"/>
      <c r="AU42" s="2758"/>
      <c r="BA42" s="1082">
        <v>14</v>
      </c>
    </row>
    <row r="43" spans="1:53" ht="15" customHeight="1">
      <c r="A43" s="1297"/>
      <c r="B43" s="1297" t="s">
        <v>140</v>
      </c>
      <c r="C43" s="1297" t="s">
        <v>141</v>
      </c>
      <c r="D43" s="1297" t="s">
        <v>142</v>
      </c>
      <c r="E43" s="1291" t="s">
        <v>479</v>
      </c>
      <c r="F43" s="1291" t="s">
        <v>480</v>
      </c>
      <c r="G43" s="1291" t="s">
        <v>481</v>
      </c>
      <c r="H43" s="1291" t="s">
        <v>482</v>
      </c>
      <c r="I43" s="1291" t="s">
        <v>483</v>
      </c>
      <c r="J43" s="1291" t="s">
        <v>484</v>
      </c>
      <c r="K43" s="1291" t="s">
        <v>485</v>
      </c>
      <c r="L43" s="1291" t="s">
        <v>460</v>
      </c>
      <c r="Q43" s="229"/>
      <c r="R43" s="313"/>
      <c r="S43" s="2909"/>
      <c r="T43" s="2857"/>
      <c r="U43" s="240"/>
      <c r="V43" s="1257" t="s">
        <v>524</v>
      </c>
      <c r="W43" s="1257" t="s">
        <v>525</v>
      </c>
      <c r="X43" s="1265" t="s">
        <v>488</v>
      </c>
      <c r="Y43" s="2862" t="s">
        <v>489</v>
      </c>
      <c r="Z43" s="2876"/>
      <c r="AA43" s="2961"/>
      <c r="AB43" s="2947"/>
      <c r="AC43" s="2948"/>
      <c r="AD43" s="2948"/>
      <c r="AE43" s="2949"/>
      <c r="AF43" s="2948"/>
      <c r="AG43" s="2948"/>
      <c r="AH43" s="2948"/>
      <c r="AI43" s="2949"/>
      <c r="AJ43" s="2947"/>
      <c r="AK43" s="2948"/>
      <c r="AL43" s="2948"/>
      <c r="AM43" s="2949"/>
      <c r="AN43" s="1785" t="s">
        <v>524</v>
      </c>
      <c r="AO43" s="1785" t="s">
        <v>525</v>
      </c>
      <c r="AP43" s="1265" t="s">
        <v>488</v>
      </c>
      <c r="AQ43" s="2862" t="s">
        <v>489</v>
      </c>
      <c r="AR43" s="2876"/>
      <c r="AS43" s="2915"/>
      <c r="AT43" s="2918"/>
      <c r="AU43" s="2758"/>
      <c r="BA43" s="1082">
        <v>14</v>
      </c>
    </row>
    <row r="44" spans="1:53" s="1568" customFormat="1" ht="11.25" hidden="1" customHeight="1">
      <c r="A44" s="1297"/>
      <c r="B44" s="1297"/>
      <c r="C44" s="1297"/>
      <c r="D44" s="1297"/>
      <c r="E44" s="1297"/>
      <c r="F44" s="1297"/>
      <c r="G44" s="1297"/>
      <c r="H44" s="1297"/>
      <c r="I44" s="1297"/>
      <c r="J44" s="1297"/>
      <c r="K44" s="1297"/>
      <c r="L44" s="1291"/>
      <c r="M44" s="1289"/>
      <c r="N44" s="1289"/>
      <c r="O44" s="1289"/>
      <c r="P44" s="447"/>
      <c r="Q44" s="1181"/>
      <c r="R44" s="1181">
        <v>1</v>
      </c>
      <c r="S44" s="1204" t="s">
        <v>114</v>
      </c>
      <c r="T44" s="1182" t="s">
        <v>115</v>
      </c>
      <c r="U44" s="1172" t="str">
        <f ca="1">OFFSET(U44,0,-1)</f>
        <v>2</v>
      </c>
      <c r="V44" s="1262">
        <f ca="1">OFFSET(V44,0,-1)+1</f>
        <v>3</v>
      </c>
      <c r="W44" s="1262">
        <f ca="1">OFFSET(W44,0,-1)+1</f>
        <v>4</v>
      </c>
      <c r="X44" s="1262">
        <f ca="1">OFFSET(X44,0,-1)+1</f>
        <v>5</v>
      </c>
      <c r="Y44" s="2907">
        <f ca="1">OFFSET(Y44,0,-1)+1</f>
        <v>6</v>
      </c>
      <c r="Z44" s="2907"/>
      <c r="AA44" s="1262">
        <f ca="1">OFFSET(AA44,0,-2)+1</f>
        <v>7</v>
      </c>
      <c r="AB44" s="1268">
        <f ca="1">OFFSET(AB44,0,-1)+1</f>
        <v>8</v>
      </c>
      <c r="AC44" s="1268"/>
      <c r="AD44" s="1268"/>
      <c r="AE44" s="1268"/>
      <c r="AF44" s="1262"/>
      <c r="AG44" s="1262"/>
      <c r="AH44" s="1262"/>
      <c r="AI44" s="1262"/>
      <c r="AJ44" s="1262"/>
      <c r="AK44" s="1262"/>
      <c r="AL44" s="1262"/>
      <c r="AM44" s="1262"/>
      <c r="AN44" s="1262">
        <f ca="1">OFFSET(AN44,0,-1)+1</f>
        <v>1</v>
      </c>
      <c r="AO44" s="1262">
        <f ca="1">OFFSET(AO44,0,-1)+1</f>
        <v>2</v>
      </c>
      <c r="AP44" s="1262">
        <f ca="1">OFFSET(AP44,0,-1)+1</f>
        <v>3</v>
      </c>
      <c r="AQ44" s="2907">
        <f ca="1">OFFSET(AQ44,0,-1)+1</f>
        <v>4</v>
      </c>
      <c r="AR44" s="2907"/>
      <c r="AS44" s="1262">
        <f ca="1">OFFSET(AS44,0,-2)+1</f>
        <v>5</v>
      </c>
      <c r="AT44" s="1172">
        <f ca="1">OFFSET(AT44,0,-1)</f>
        <v>5</v>
      </c>
      <c r="AU44" s="1262">
        <f ca="1">OFFSET(AU44,0,-1)+1</f>
        <v>6</v>
      </c>
      <c r="AV44" s="448"/>
      <c r="AW44" s="448"/>
      <c r="AX44" s="448"/>
      <c r="AY44" s="448"/>
      <c r="AZ44" s="448"/>
      <c r="BA44" s="433">
        <v>0</v>
      </c>
    </row>
    <row r="45" spans="1:53" ht="107.25" customHeight="1">
      <c r="A45" s="1290" t="s">
        <v>245</v>
      </c>
      <c r="B45" s="1290"/>
      <c r="C45" s="1290"/>
      <c r="D45" s="1290"/>
      <c r="E45" s="2896">
        <v>1</v>
      </c>
      <c r="F45" s="1290"/>
      <c r="G45" s="1290"/>
      <c r="H45" s="1290"/>
      <c r="I45" s="1290"/>
      <c r="J45" s="1290"/>
      <c r="K45" s="1290"/>
      <c r="L45" s="1291"/>
      <c r="M45" s="1292"/>
      <c r="N45" s="1292"/>
      <c r="O45" s="1292"/>
      <c r="P45" s="1336"/>
      <c r="Q45" s="804"/>
      <c r="R45" s="292"/>
      <c r="S45" s="1263">
        <f>INDEX(PT_DIFFERENTIATION_NUM_NTAR,MATCH(A45,PT_DIFFERENTIATION_NTAR_ID,0))</f>
        <v>0</v>
      </c>
      <c r="T45" s="236" t="s">
        <v>128</v>
      </c>
      <c r="U45" s="238"/>
      <c r="V45" s="2891"/>
      <c r="W45" s="2891"/>
      <c r="X45" s="2891"/>
      <c r="Y45" s="2891"/>
      <c r="Z45" s="2891"/>
      <c r="AA45" s="2892"/>
      <c r="AB45" s="2890" t="str">
        <f>INDEX(PT_DIFFERENTIATION_NTAR,MATCH(A45,PT_DIFFERENTIATION_NTAR_ID,0))</f>
        <v/>
      </c>
      <c r="AC45" s="2891"/>
      <c r="AD45" s="2891"/>
      <c r="AE45" s="2891"/>
      <c r="AF45" s="2891"/>
      <c r="AG45" s="2891"/>
      <c r="AH45" s="2891"/>
      <c r="AI45" s="2891"/>
      <c r="AJ45" s="2891"/>
      <c r="AK45" s="2891"/>
      <c r="AL45" s="2891"/>
      <c r="AM45" s="2891"/>
      <c r="AN45" s="2891"/>
      <c r="AO45" s="2891"/>
      <c r="AP45" s="2891"/>
      <c r="AQ45" s="2891"/>
      <c r="AR45" s="2891"/>
      <c r="AS45" s="2891"/>
      <c r="AT45" s="2892"/>
      <c r="AU45"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W45" s="437"/>
      <c r="AX45" s="437" t="str">
        <f t="shared" ref="AX45:AX51" si="2">IF(T45="","",T45)</f>
        <v>Наименование тарифа</v>
      </c>
      <c r="AY45" s="437"/>
      <c r="AZ45" s="437"/>
      <c r="BA45" s="1082">
        <v>102</v>
      </c>
    </row>
    <row r="46" spans="1:53" ht="21.75" customHeight="1">
      <c r="A46" s="1290" t="s">
        <v>245</v>
      </c>
      <c r="B46" s="1290" t="s">
        <v>246</v>
      </c>
      <c r="C46" s="1290"/>
      <c r="D46" s="1290"/>
      <c r="E46" s="2897"/>
      <c r="F46" s="2896">
        <v>1</v>
      </c>
      <c r="G46" s="1290"/>
      <c r="H46" s="1290"/>
      <c r="I46" s="1290"/>
      <c r="J46" s="1290"/>
      <c r="K46" s="1290"/>
      <c r="L46" s="1291"/>
      <c r="M46" s="1292"/>
      <c r="N46" s="1292"/>
      <c r="O46" s="1292"/>
      <c r="P46" s="1337"/>
      <c r="Q46" s="1338"/>
      <c r="R46" s="290"/>
      <c r="S46" s="1263" t="str">
        <f>INDEX(PT_DIFFERENTIATION_NUM_TER,MATCH(B46,PT_DIFFERENTIATION_TER_ID,0))</f>
        <v>.</v>
      </c>
      <c r="T46" s="246" t="s">
        <v>442</v>
      </c>
      <c r="U46" s="238"/>
      <c r="V46" s="2891"/>
      <c r="W46" s="2891"/>
      <c r="X46" s="2891"/>
      <c r="Y46" s="2891"/>
      <c r="Z46" s="2891"/>
      <c r="AA46" s="2892"/>
      <c r="AB46" s="2890" t="str">
        <f>INDEX(PT_DIFFERENTIATION_TER,MATCH(B46,PT_DIFFERENTIATION_TER_ID,0))</f>
        <v/>
      </c>
      <c r="AC46" s="2891"/>
      <c r="AD46" s="2891"/>
      <c r="AE46" s="2891"/>
      <c r="AF46" s="2891"/>
      <c r="AG46" s="2891"/>
      <c r="AH46" s="2891"/>
      <c r="AI46" s="2891"/>
      <c r="AJ46" s="2891"/>
      <c r="AK46" s="2891"/>
      <c r="AL46" s="2891"/>
      <c r="AM46" s="2891"/>
      <c r="AN46" s="2891"/>
      <c r="AO46" s="2891"/>
      <c r="AP46" s="2891"/>
      <c r="AQ46" s="2891"/>
      <c r="AR46" s="2891"/>
      <c r="AS46" s="2891"/>
      <c r="AT46" s="2892"/>
      <c r="AU46" s="1185" t="s">
        <v>443</v>
      </c>
      <c r="AW46" s="437"/>
      <c r="AX46" s="437" t="str">
        <f t="shared" si="2"/>
        <v>Территория действия тарифа</v>
      </c>
      <c r="AY46" s="437"/>
      <c r="AZ46" s="437"/>
      <c r="BA46" s="1082">
        <v>21</v>
      </c>
    </row>
    <row r="47" spans="1:53" ht="24" customHeight="1">
      <c r="A47" s="1290" t="s">
        <v>245</v>
      </c>
      <c r="B47" s="1290" t="s">
        <v>246</v>
      </c>
      <c r="C47" s="1290" t="s">
        <v>247</v>
      </c>
      <c r="D47" s="1290"/>
      <c r="E47" s="2897"/>
      <c r="F47" s="2897"/>
      <c r="G47" s="2896">
        <v>1</v>
      </c>
      <c r="H47" s="1290"/>
      <c r="I47" s="1290"/>
      <c r="J47" s="1290"/>
      <c r="K47" s="1290"/>
      <c r="L47" s="1291"/>
      <c r="M47" s="1292"/>
      <c r="N47" s="1292"/>
      <c r="O47" s="1292"/>
      <c r="P47" s="1339"/>
      <c r="Q47" s="1338"/>
      <c r="R47" s="290"/>
      <c r="S47" s="1263" t="str">
        <f>INDEX(PT_DIFFERENTIATION_NUM_CS,MATCH(C47,PT_DIFFERENTIATION_CS_ID,0))</f>
        <v>..</v>
      </c>
      <c r="T47" s="247" t="s">
        <v>444</v>
      </c>
      <c r="U47" s="238"/>
      <c r="V47" s="2891"/>
      <c r="W47" s="2891"/>
      <c r="X47" s="2891"/>
      <c r="Y47" s="2891"/>
      <c r="Z47" s="2891"/>
      <c r="AA47" s="2892"/>
      <c r="AB47" s="2890" t="str">
        <f>INDEX(PT_DIFFERENTIATION_CS,MATCH(C47,PT_DIFFERENTIATION_CS_ID,0))</f>
        <v/>
      </c>
      <c r="AC47" s="2891"/>
      <c r="AD47" s="2891"/>
      <c r="AE47" s="2891"/>
      <c r="AF47" s="2891"/>
      <c r="AG47" s="2891"/>
      <c r="AH47" s="2891"/>
      <c r="AI47" s="2891"/>
      <c r="AJ47" s="2891"/>
      <c r="AK47" s="2891"/>
      <c r="AL47" s="2891"/>
      <c r="AM47" s="2891"/>
      <c r="AN47" s="2891"/>
      <c r="AO47" s="2891"/>
      <c r="AP47" s="2891"/>
      <c r="AQ47" s="2891"/>
      <c r="AR47" s="2891"/>
      <c r="AS47" s="2891"/>
      <c r="AT47" s="2892"/>
      <c r="AU47" s="1185" t="s">
        <v>445</v>
      </c>
      <c r="AW47" s="437"/>
      <c r="AX47" s="437" t="str">
        <f t="shared" si="2"/>
        <v xml:space="preserve">Наименование системы теплоснабжения </v>
      </c>
      <c r="AY47" s="437"/>
      <c r="AZ47" s="437"/>
      <c r="BA47" s="1082">
        <v>23</v>
      </c>
    </row>
    <row r="48" spans="1:53" ht="21" customHeight="1">
      <c r="A48" s="1290" t="s">
        <v>245</v>
      </c>
      <c r="B48" s="1290" t="s">
        <v>246</v>
      </c>
      <c r="C48" s="1290" t="s">
        <v>247</v>
      </c>
      <c r="D48" s="1290" t="s">
        <v>248</v>
      </c>
      <c r="E48" s="2897"/>
      <c r="F48" s="2897"/>
      <c r="G48" s="2897"/>
      <c r="H48" s="2896">
        <v>1</v>
      </c>
      <c r="I48" s="1290"/>
      <c r="J48" s="1290"/>
      <c r="K48" s="1290"/>
      <c r="L48" s="1291"/>
      <c r="M48" s="1292"/>
      <c r="N48" s="1292"/>
      <c r="O48" s="1292"/>
      <c r="P48" s="1339"/>
      <c r="Q48" s="1338"/>
      <c r="R48" s="290"/>
      <c r="S48" s="1263" t="str">
        <f>INDEX(PT_DIFFERENTIATION_NUM_IST_TE,MATCH(D48,PT_DIFFERENTIATION_IST_TE_ID,0))</f>
        <v>...</v>
      </c>
      <c r="T48" s="248" t="s">
        <v>446</v>
      </c>
      <c r="U48" s="238"/>
      <c r="V48" s="2891"/>
      <c r="W48" s="2891"/>
      <c r="X48" s="2891"/>
      <c r="Y48" s="2891"/>
      <c r="Z48" s="2891"/>
      <c r="AA48" s="2892"/>
      <c r="AB48" s="2890" t="str">
        <f>INDEX(PT_DIFFERENTIATION_IST_TE,MATCH(D48,PT_DIFFERENTIATION_IST_TE_ID,0))</f>
        <v/>
      </c>
      <c r="AC48" s="2891"/>
      <c r="AD48" s="2891"/>
      <c r="AE48" s="2891"/>
      <c r="AF48" s="2891"/>
      <c r="AG48" s="2891"/>
      <c r="AH48" s="2891"/>
      <c r="AI48" s="2891"/>
      <c r="AJ48" s="2891"/>
      <c r="AK48" s="2891"/>
      <c r="AL48" s="2891"/>
      <c r="AM48" s="2891"/>
      <c r="AN48" s="2891"/>
      <c r="AO48" s="2891"/>
      <c r="AP48" s="2891"/>
      <c r="AQ48" s="2891"/>
      <c r="AR48" s="2891"/>
      <c r="AS48" s="2891"/>
      <c r="AT48" s="2892"/>
      <c r="AU48" s="1185" t="s">
        <v>447</v>
      </c>
      <c r="AW48" s="437"/>
      <c r="AX48" s="437" t="str">
        <f t="shared" si="2"/>
        <v xml:space="preserve">Источник тепловой энергии  </v>
      </c>
      <c r="AY48" s="437"/>
      <c r="AZ48" s="437"/>
      <c r="BA48" s="1082">
        <v>20</v>
      </c>
    </row>
    <row r="49" spans="1:53" s="1569" customFormat="1" ht="0.75" customHeight="1">
      <c r="A49" s="1270" t="s">
        <v>245</v>
      </c>
      <c r="B49" s="1270" t="s">
        <v>246</v>
      </c>
      <c r="C49" s="1270" t="s">
        <v>247</v>
      </c>
      <c r="D49" s="1270" t="s">
        <v>248</v>
      </c>
      <c r="E49" s="2897"/>
      <c r="F49" s="2897"/>
      <c r="G49" s="2897"/>
      <c r="H49" s="2897"/>
      <c r="I49" s="2898" t="str">
        <f>S48&amp;".1"</f>
        <v>....1</v>
      </c>
      <c r="J49" s="1270"/>
      <c r="K49" s="1270"/>
      <c r="L49" s="1273" t="s">
        <v>448</v>
      </c>
      <c r="M49" s="447"/>
      <c r="N49" s="447"/>
      <c r="O49" s="447"/>
      <c r="P49" s="2900">
        <v>1</v>
      </c>
      <c r="Q49" s="1258"/>
      <c r="R49" s="293"/>
      <c r="S49" s="972"/>
      <c r="T49" s="1310"/>
      <c r="U49" s="1311"/>
      <c r="V49" s="2929"/>
      <c r="W49" s="2929"/>
      <c r="X49" s="2929"/>
      <c r="Y49" s="2929"/>
      <c r="Z49" s="2929"/>
      <c r="AA49" s="2930"/>
      <c r="AB49" s="2928"/>
      <c r="AC49" s="2929"/>
      <c r="AD49" s="2929"/>
      <c r="AE49" s="2929"/>
      <c r="AF49" s="2929"/>
      <c r="AG49" s="2929"/>
      <c r="AH49" s="2929"/>
      <c r="AI49" s="2929"/>
      <c r="AJ49" s="2929"/>
      <c r="AK49" s="2929"/>
      <c r="AL49" s="2929"/>
      <c r="AM49" s="2929"/>
      <c r="AN49" s="2929"/>
      <c r="AO49" s="2929"/>
      <c r="AP49" s="2929"/>
      <c r="AQ49" s="2929"/>
      <c r="AR49" s="2929"/>
      <c r="AS49" s="2929"/>
      <c r="AT49" s="2930"/>
      <c r="AU49" s="1312"/>
      <c r="AW49" s="437"/>
      <c r="AX49" s="437" t="str">
        <f t="shared" si="2"/>
        <v/>
      </c>
      <c r="AY49" s="437"/>
      <c r="AZ49" s="437"/>
      <c r="BA49" s="448">
        <v>1</v>
      </c>
    </row>
    <row r="50" spans="1:53" s="1569" customFormat="1" ht="0.75" customHeight="1">
      <c r="A50" s="1270" t="s">
        <v>245</v>
      </c>
      <c r="B50" s="1270" t="s">
        <v>246</v>
      </c>
      <c r="C50" s="1270" t="s">
        <v>247</v>
      </c>
      <c r="D50" s="1270" t="s">
        <v>248</v>
      </c>
      <c r="E50" s="2897"/>
      <c r="F50" s="2897"/>
      <c r="G50" s="2897"/>
      <c r="H50" s="2897"/>
      <c r="I50" s="2899"/>
      <c r="J50" s="2898" t="str">
        <f>S48&amp;".1"</f>
        <v>....1</v>
      </c>
      <c r="K50" s="1270"/>
      <c r="L50" s="1273"/>
      <c r="M50" s="447"/>
      <c r="N50" s="447"/>
      <c r="O50" s="447"/>
      <c r="P50" s="2900"/>
      <c r="Q50" s="2900">
        <v>1</v>
      </c>
      <c r="R50" s="294"/>
      <c r="S50" s="972"/>
      <c r="T50" s="1326"/>
      <c r="U50" s="1311"/>
      <c r="V50" s="2929"/>
      <c r="W50" s="2929"/>
      <c r="X50" s="2929"/>
      <c r="Y50" s="2929"/>
      <c r="Z50" s="2929"/>
      <c r="AA50" s="2930"/>
      <c r="AB50" s="2928"/>
      <c r="AC50" s="2929"/>
      <c r="AD50" s="2929"/>
      <c r="AE50" s="2929"/>
      <c r="AF50" s="2929"/>
      <c r="AG50" s="2929"/>
      <c r="AH50" s="2929"/>
      <c r="AI50" s="2929"/>
      <c r="AJ50" s="2929"/>
      <c r="AK50" s="2929"/>
      <c r="AL50" s="2929"/>
      <c r="AM50" s="2929"/>
      <c r="AN50" s="2929"/>
      <c r="AO50" s="2929"/>
      <c r="AP50" s="2929"/>
      <c r="AQ50" s="2929"/>
      <c r="AR50" s="2929"/>
      <c r="AS50" s="2929"/>
      <c r="AT50" s="2930"/>
      <c r="AU50" s="1312"/>
      <c r="AW50" s="437"/>
      <c r="AX50" s="437" t="str">
        <f t="shared" si="2"/>
        <v/>
      </c>
      <c r="AY50" s="437"/>
      <c r="AZ50" s="437"/>
      <c r="BA50" s="448">
        <v>1</v>
      </c>
    </row>
    <row r="51" spans="1:53" ht="21.75" customHeight="1">
      <c r="A51" s="1290" t="s">
        <v>245</v>
      </c>
      <c r="B51" s="1290" t="s">
        <v>246</v>
      </c>
      <c r="C51" s="1290" t="s">
        <v>247</v>
      </c>
      <c r="D51" s="1290" t="s">
        <v>248</v>
      </c>
      <c r="E51" s="2897"/>
      <c r="F51" s="2897"/>
      <c r="G51" s="2897"/>
      <c r="H51" s="2897"/>
      <c r="I51" s="2899"/>
      <c r="J51" s="2899"/>
      <c r="K51" s="2898" t="str">
        <f>S48&amp;".1"</f>
        <v>....1</v>
      </c>
      <c r="L51" s="1291"/>
      <c r="P51" s="2900"/>
      <c r="Q51" s="2900"/>
      <c r="R51" s="294">
        <v>1</v>
      </c>
      <c r="S51" s="2954" t="str">
        <f>$K51</f>
        <v>....1</v>
      </c>
      <c r="T51" s="2951"/>
      <c r="U51" s="238"/>
      <c r="V51" s="688"/>
      <c r="W51" s="1184"/>
      <c r="X51" s="1660"/>
      <c r="Y51" s="1386" t="s">
        <v>71</v>
      </c>
      <c r="Z51" s="1660"/>
      <c r="AA51" s="1386" t="s">
        <v>71</v>
      </c>
      <c r="AB51" s="2768" t="s">
        <v>19</v>
      </c>
      <c r="AC51" s="2950"/>
      <c r="AD51" s="2853">
        <v>1</v>
      </c>
      <c r="AE51" s="2942" t="s">
        <v>30</v>
      </c>
      <c r="AF51" s="2768" t="s">
        <v>19</v>
      </c>
      <c r="AG51" s="2950"/>
      <c r="AH51" s="2853">
        <v>1</v>
      </c>
      <c r="AI51" s="2942" t="s">
        <v>30</v>
      </c>
      <c r="AJ51" s="2768" t="s">
        <v>19</v>
      </c>
      <c r="AK51" s="249"/>
      <c r="AL51" s="1264">
        <v>1</v>
      </c>
      <c r="AM51" s="1329"/>
      <c r="AN51" s="688"/>
      <c r="AO51" s="1184"/>
      <c r="AP51" s="1660"/>
      <c r="AQ51" s="1386" t="s">
        <v>71</v>
      </c>
      <c r="AR51" s="1660"/>
      <c r="AS51" s="1386" t="s">
        <v>71</v>
      </c>
      <c r="AT51" s="1275"/>
      <c r="AU51" s="2919" t="s">
        <v>526</v>
      </c>
      <c r="AV51" s="448" t="e">
        <f ca="1">STRCHECKDATE(V54:AT54)</f>
        <v>#NAME?</v>
      </c>
      <c r="AW51" s="437"/>
      <c r="AX51" s="437" t="str">
        <f t="shared" si="2"/>
        <v/>
      </c>
      <c r="AY51" s="437"/>
      <c r="AZ51" s="437"/>
      <c r="BA51" s="1082">
        <v>21</v>
      </c>
    </row>
    <row r="52" spans="1:53" ht="11.25" customHeight="1">
      <c r="A52" s="1290" t="s">
        <v>245</v>
      </c>
      <c r="B52" s="1290"/>
      <c r="C52" s="1290"/>
      <c r="D52" s="1290"/>
      <c r="E52" s="2897"/>
      <c r="F52" s="2897"/>
      <c r="G52" s="2897"/>
      <c r="H52" s="2897"/>
      <c r="I52" s="2899"/>
      <c r="J52" s="2899"/>
      <c r="K52" s="2898"/>
      <c r="L52" s="1291"/>
      <c r="P52" s="2900"/>
      <c r="Q52" s="2900"/>
      <c r="R52" s="294"/>
      <c r="S52" s="2955"/>
      <c r="T52" s="2952"/>
      <c r="U52" s="238"/>
      <c r="V52" s="1320"/>
      <c r="W52" s="1423"/>
      <c r="X52" s="1320"/>
      <c r="Y52" s="1320"/>
      <c r="Z52" s="1320"/>
      <c r="AA52" s="1320"/>
      <c r="AB52" s="2768"/>
      <c r="AC52" s="2950"/>
      <c r="AD52" s="2853"/>
      <c r="AE52" s="2942"/>
      <c r="AF52" s="2768"/>
      <c r="AG52" s="2950"/>
      <c r="AH52" s="2853"/>
      <c r="AI52" s="2942"/>
      <c r="AJ52" s="2768"/>
      <c r="AK52" s="254"/>
      <c r="AL52" s="353"/>
      <c r="AM52" s="352" t="s">
        <v>511</v>
      </c>
      <c r="AN52" s="1320"/>
      <c r="AO52" s="1423"/>
      <c r="AP52" s="1320"/>
      <c r="AQ52" s="1320"/>
      <c r="AR52" s="1320"/>
      <c r="AS52" s="1320"/>
      <c r="AT52" s="1317"/>
      <c r="AU52" s="2920"/>
      <c r="AW52" s="437"/>
      <c r="AX52" s="437"/>
      <c r="AY52" s="437"/>
      <c r="AZ52" s="437"/>
      <c r="BA52" s="1082">
        <v>11</v>
      </c>
    </row>
    <row r="53" spans="1:53" ht="11.25" customHeight="1">
      <c r="A53" s="1290" t="s">
        <v>245</v>
      </c>
      <c r="B53" s="1290"/>
      <c r="C53" s="1290"/>
      <c r="D53" s="1290"/>
      <c r="E53" s="2897"/>
      <c r="F53" s="2897"/>
      <c r="G53" s="2897"/>
      <c r="H53" s="2897"/>
      <c r="I53" s="2899"/>
      <c r="J53" s="2899"/>
      <c r="K53" s="2898"/>
      <c r="L53" s="1291"/>
      <c r="P53" s="2900"/>
      <c r="Q53" s="2900"/>
      <c r="R53" s="294"/>
      <c r="S53" s="2955"/>
      <c r="T53" s="2952"/>
      <c r="U53" s="238"/>
      <c r="V53" s="1320"/>
      <c r="W53" s="1423"/>
      <c r="X53" s="1320"/>
      <c r="Y53" s="1320"/>
      <c r="Z53" s="1320"/>
      <c r="AA53" s="1320"/>
      <c r="AB53" s="2768"/>
      <c r="AC53" s="2950"/>
      <c r="AD53" s="2853"/>
      <c r="AE53" s="2942"/>
      <c r="AF53" s="2768"/>
      <c r="AG53" s="232"/>
      <c r="AH53" s="352"/>
      <c r="AI53" s="352" t="s">
        <v>512</v>
      </c>
      <c r="AJ53" s="1320"/>
      <c r="AK53" s="1320"/>
      <c r="AL53" s="1320"/>
      <c r="AM53" s="1320"/>
      <c r="AN53" s="1320"/>
      <c r="AO53" s="1423"/>
      <c r="AP53" s="1320"/>
      <c r="AQ53" s="1320"/>
      <c r="AR53" s="1320"/>
      <c r="AS53" s="1320"/>
      <c r="AT53" s="1317"/>
      <c r="AU53" s="2920"/>
      <c r="AW53" s="437"/>
      <c r="AX53" s="437"/>
      <c r="AY53" s="437"/>
      <c r="AZ53" s="437"/>
      <c r="BA53" s="1082">
        <v>11</v>
      </c>
    </row>
    <row r="54" spans="1:53" ht="11.25" customHeight="1">
      <c r="A54" s="1290" t="s">
        <v>245</v>
      </c>
      <c r="B54" s="1290" t="s">
        <v>246</v>
      </c>
      <c r="C54" s="1290" t="s">
        <v>247</v>
      </c>
      <c r="D54" s="1290" t="s">
        <v>248</v>
      </c>
      <c r="E54" s="2897"/>
      <c r="F54" s="2897"/>
      <c r="G54" s="2897"/>
      <c r="H54" s="2897"/>
      <c r="I54" s="2899"/>
      <c r="J54" s="2899"/>
      <c r="K54" s="2898"/>
      <c r="L54" s="1291"/>
      <c r="P54" s="2900"/>
      <c r="Q54" s="2900"/>
      <c r="R54" s="294"/>
      <c r="S54" s="2956"/>
      <c r="T54" s="2953"/>
      <c r="U54" s="238"/>
      <c r="V54" s="1320"/>
      <c r="W54" s="1321" t="str">
        <f>X51&amp;"-"&amp;Z51</f>
        <v>-</v>
      </c>
      <c r="X54" s="1320"/>
      <c r="Y54" s="1320"/>
      <c r="Z54" s="1320"/>
      <c r="AA54" s="1320"/>
      <c r="AB54" s="2768"/>
      <c r="AC54" s="250"/>
      <c r="AD54" s="252"/>
      <c r="AE54" s="352" t="s">
        <v>513</v>
      </c>
      <c r="AF54" s="1320"/>
      <c r="AG54" s="1320"/>
      <c r="AH54" s="1320"/>
      <c r="AI54" s="1320"/>
      <c r="AJ54" s="1320"/>
      <c r="AK54" s="1320"/>
      <c r="AL54" s="1320"/>
      <c r="AM54" s="1320"/>
      <c r="AN54" s="1320"/>
      <c r="AO54" s="1321" t="str">
        <f>AP51&amp;"-"&amp;AR51</f>
        <v>-</v>
      </c>
      <c r="AP54" s="1320"/>
      <c r="AQ54" s="1320"/>
      <c r="AR54" s="1320"/>
      <c r="AS54" s="1320"/>
      <c r="AT54" s="1276"/>
      <c r="AU54" s="2920"/>
      <c r="AW54" s="437"/>
      <c r="AX54" s="437" t="str">
        <f t="shared" ref="AX54:AX62" si="3">IF(T54="","",T54)</f>
        <v/>
      </c>
      <c r="AY54" s="437"/>
      <c r="AZ54" s="437"/>
      <c r="BA54" s="1082">
        <v>11</v>
      </c>
    </row>
    <row r="55" spans="1:53" ht="11.25" customHeight="1">
      <c r="A55" s="1290" t="s">
        <v>245</v>
      </c>
      <c r="B55" s="1290" t="s">
        <v>246</v>
      </c>
      <c r="C55" s="1290" t="s">
        <v>247</v>
      </c>
      <c r="D55" s="1290" t="s">
        <v>248</v>
      </c>
      <c r="E55" s="2897"/>
      <c r="F55" s="2897"/>
      <c r="G55" s="2897"/>
      <c r="H55" s="2897"/>
      <c r="I55" s="2899"/>
      <c r="J55" s="2898"/>
      <c r="K55" s="1290"/>
      <c r="L55" s="1291"/>
      <c r="P55" s="2900"/>
      <c r="Q55" s="2900"/>
      <c r="R55" s="293"/>
      <c r="S55" s="1205"/>
      <c r="T55" s="225" t="s">
        <v>514</v>
      </c>
      <c r="U55" s="304"/>
      <c r="V55" s="304"/>
      <c r="W55" s="304"/>
      <c r="X55" s="304"/>
      <c r="Y55" s="304"/>
      <c r="Z55" s="304"/>
      <c r="AA55" s="262"/>
      <c r="AB55" s="1432"/>
      <c r="AC55" s="304"/>
      <c r="AD55" s="304"/>
      <c r="AE55" s="304"/>
      <c r="AF55" s="304"/>
      <c r="AG55" s="304"/>
      <c r="AH55" s="304"/>
      <c r="AI55" s="304"/>
      <c r="AJ55" s="304"/>
      <c r="AK55" s="304"/>
      <c r="AL55" s="304"/>
      <c r="AM55" s="304"/>
      <c r="AN55" s="304"/>
      <c r="AO55" s="304"/>
      <c r="AP55" s="304"/>
      <c r="AQ55" s="304"/>
      <c r="AR55" s="304"/>
      <c r="AS55" s="304"/>
      <c r="AT55" s="262"/>
      <c r="AU55" s="2921"/>
      <c r="AW55" s="437"/>
      <c r="AX55" s="437" t="str">
        <f t="shared" si="3"/>
        <v>Добавить строку</v>
      </c>
      <c r="AY55" s="437"/>
      <c r="AZ55" s="437"/>
      <c r="BA55" s="1082">
        <v>11</v>
      </c>
    </row>
    <row r="56" spans="1:53" s="1569" customFormat="1" ht="0.75" customHeight="1">
      <c r="A56" s="1270" t="s">
        <v>245</v>
      </c>
      <c r="B56" s="1270" t="s">
        <v>246</v>
      </c>
      <c r="C56" s="1270" t="s">
        <v>247</v>
      </c>
      <c r="D56" s="1270" t="s">
        <v>248</v>
      </c>
      <c r="E56" s="2897"/>
      <c r="F56" s="2897"/>
      <c r="G56" s="2897"/>
      <c r="H56" s="2897"/>
      <c r="I56" s="2898"/>
      <c r="J56" s="1270"/>
      <c r="K56" s="1270"/>
      <c r="L56" s="1273"/>
      <c r="M56" s="447"/>
      <c r="N56" s="447"/>
      <c r="O56" s="447"/>
      <c r="P56" s="2900"/>
      <c r="Q56" s="1258"/>
      <c r="R56" s="293"/>
      <c r="S56" s="1313"/>
      <c r="T56" s="1314" t="s">
        <v>457</v>
      </c>
      <c r="U56" s="1315"/>
      <c r="V56" s="1315"/>
      <c r="W56" s="1315"/>
      <c r="X56" s="1315"/>
      <c r="Y56" s="1315"/>
      <c r="Z56" s="1315"/>
      <c r="AA56" s="1315"/>
      <c r="AB56" s="1315"/>
      <c r="AC56" s="1315"/>
      <c r="AD56" s="1315"/>
      <c r="AE56" s="1315"/>
      <c r="AF56" s="1315"/>
      <c r="AG56" s="1315"/>
      <c r="AH56" s="1315"/>
      <c r="AI56" s="1315"/>
      <c r="AJ56" s="1315"/>
      <c r="AK56" s="1315"/>
      <c r="AL56" s="1315"/>
      <c r="AM56" s="1315"/>
      <c r="AN56" s="1315"/>
      <c r="AO56" s="1315"/>
      <c r="AP56" s="1315"/>
      <c r="AQ56" s="1315"/>
      <c r="AR56" s="1315"/>
      <c r="AS56" s="1315"/>
      <c r="AT56" s="1315"/>
      <c r="AU56" s="1316"/>
      <c r="AW56" s="437"/>
      <c r="AX56" s="437" t="str">
        <f t="shared" si="3"/>
        <v>Добавить группу потребителей</v>
      </c>
      <c r="AY56" s="437"/>
      <c r="AZ56" s="437"/>
      <c r="BA56" s="448">
        <v>1</v>
      </c>
    </row>
    <row r="57" spans="1:53" s="1568" customFormat="1" ht="0.75" customHeight="1">
      <c r="A57" s="1270" t="s">
        <v>245</v>
      </c>
      <c r="B57" s="1270" t="s">
        <v>246</v>
      </c>
      <c r="C57" s="1270" t="s">
        <v>247</v>
      </c>
      <c r="D57" s="1270" t="s">
        <v>248</v>
      </c>
      <c r="E57" s="2897"/>
      <c r="F57" s="2897"/>
      <c r="G57" s="2897"/>
      <c r="H57" s="2896"/>
      <c r="I57" s="1270"/>
      <c r="J57" s="1270"/>
      <c r="K57" s="1270"/>
      <c r="L57" s="1273"/>
      <c r="M57" s="1242"/>
      <c r="N57" s="1242"/>
      <c r="O57" s="455"/>
      <c r="P57" s="317"/>
      <c r="Q57" s="1271"/>
      <c r="R57" s="1327"/>
      <c r="S57" s="1313"/>
      <c r="T57" s="1314"/>
      <c r="U57" s="1315"/>
      <c r="V57" s="1315"/>
      <c r="W57" s="1315"/>
      <c r="X57" s="1315"/>
      <c r="Y57" s="1315"/>
      <c r="Z57" s="1315"/>
      <c r="AA57" s="1315"/>
      <c r="AB57" s="1315"/>
      <c r="AC57" s="1315"/>
      <c r="AD57" s="1315"/>
      <c r="AE57" s="1315"/>
      <c r="AF57" s="1315"/>
      <c r="AG57" s="1315"/>
      <c r="AH57" s="1315"/>
      <c r="AI57" s="1315"/>
      <c r="AJ57" s="1315"/>
      <c r="AK57" s="1315"/>
      <c r="AL57" s="1315"/>
      <c r="AM57" s="1315"/>
      <c r="AN57" s="1315"/>
      <c r="AO57" s="1315"/>
      <c r="AP57" s="1315"/>
      <c r="AQ57" s="1315"/>
      <c r="AR57" s="1315"/>
      <c r="AS57" s="1315"/>
      <c r="AT57" s="1315"/>
      <c r="AU57" s="1316"/>
      <c r="AV57" s="448"/>
      <c r="AW57" s="437"/>
      <c r="AX57" s="437" t="str">
        <f t="shared" si="3"/>
        <v/>
      </c>
      <c r="AY57" s="437"/>
      <c r="AZ57" s="437"/>
      <c r="BA57" s="433">
        <v>1</v>
      </c>
    </row>
    <row r="58" spans="1:53" s="1569" customFormat="1" ht="0.75" customHeight="1">
      <c r="A58" s="1270" t="s">
        <v>245</v>
      </c>
      <c r="B58" s="1270" t="s">
        <v>246</v>
      </c>
      <c r="C58" s="1270" t="s">
        <v>247</v>
      </c>
      <c r="D58" s="1241"/>
      <c r="E58" s="2897"/>
      <c r="F58" s="2897"/>
      <c r="G58" s="2896"/>
      <c r="H58" s="1241"/>
      <c r="I58" s="1241"/>
      <c r="J58" s="1241"/>
      <c r="K58" s="1241"/>
      <c r="L58" s="1266"/>
      <c r="M58" s="1242"/>
      <c r="N58" s="1242"/>
      <c r="P58" s="1243"/>
      <c r="Q58" s="1244"/>
      <c r="R58" s="1243"/>
      <c r="S58" s="1249"/>
      <c r="T58" s="1252" t="s">
        <v>174</v>
      </c>
      <c r="U58" s="1251"/>
      <c r="V58" s="1251"/>
      <c r="W58" s="1251"/>
      <c r="X58" s="1251"/>
      <c r="Y58" s="1251"/>
      <c r="Z58" s="1251"/>
      <c r="AA58" s="1251"/>
      <c r="AB58" s="1251"/>
      <c r="AC58" s="1251"/>
      <c r="AD58" s="1251"/>
      <c r="AE58" s="1251"/>
      <c r="AF58" s="1251"/>
      <c r="AG58" s="1251"/>
      <c r="AH58" s="1251"/>
      <c r="AI58" s="1251"/>
      <c r="AJ58" s="1251"/>
      <c r="AK58" s="1251"/>
      <c r="AL58" s="1251"/>
      <c r="AM58" s="1251"/>
      <c r="AN58" s="1251"/>
      <c r="AO58" s="1251"/>
      <c r="AP58" s="1251"/>
      <c r="AQ58" s="1251"/>
      <c r="AR58" s="1251"/>
      <c r="AS58" s="1251"/>
      <c r="AT58" s="1251"/>
      <c r="AU58" s="1251"/>
      <c r="AW58" s="720"/>
      <c r="AX58" s="720" t="str">
        <f t="shared" si="3"/>
        <v>Добавить источник для дифференциации</v>
      </c>
      <c r="AY58" s="720"/>
      <c r="AZ58" s="720"/>
      <c r="BA58" s="455">
        <v>1</v>
      </c>
    </row>
    <row r="59" spans="1:53" s="1569" customFormat="1" ht="0.75" customHeight="1">
      <c r="A59" s="1270" t="s">
        <v>245</v>
      </c>
      <c r="B59" s="1270" t="s">
        <v>246</v>
      </c>
      <c r="C59" s="1241"/>
      <c r="D59" s="1241"/>
      <c r="E59" s="2897"/>
      <c r="F59" s="2896"/>
      <c r="G59" s="1241"/>
      <c r="H59" s="1241"/>
      <c r="I59" s="1241"/>
      <c r="J59" s="1241"/>
      <c r="K59" s="1241"/>
      <c r="L59" s="1266"/>
      <c r="M59" s="1248"/>
      <c r="N59" s="1248"/>
      <c r="P59" s="1243"/>
      <c r="Q59" s="1244"/>
      <c r="R59" s="1243"/>
      <c r="S59" s="1249"/>
      <c r="T59" s="1252" t="s">
        <v>176</v>
      </c>
      <c r="U59" s="1251"/>
      <c r="V59" s="1251"/>
      <c r="W59" s="1251"/>
      <c r="X59" s="1251"/>
      <c r="Y59" s="1251"/>
      <c r="Z59" s="1251"/>
      <c r="AA59" s="1251"/>
      <c r="AB59" s="1251"/>
      <c r="AC59" s="1251"/>
      <c r="AD59" s="1251"/>
      <c r="AE59" s="1251"/>
      <c r="AF59" s="1251"/>
      <c r="AG59" s="1251"/>
      <c r="AH59" s="1251"/>
      <c r="AI59" s="1251"/>
      <c r="AJ59" s="1251"/>
      <c r="AK59" s="1251"/>
      <c r="AL59" s="1251"/>
      <c r="AM59" s="1251"/>
      <c r="AN59" s="1251"/>
      <c r="AO59" s="1251"/>
      <c r="AP59" s="1251"/>
      <c r="AQ59" s="1251"/>
      <c r="AR59" s="1251"/>
      <c r="AS59" s="1251"/>
      <c r="AT59" s="1251"/>
      <c r="AU59" s="1251"/>
      <c r="AW59" s="720"/>
      <c r="AX59" s="720" t="str">
        <f t="shared" si="3"/>
        <v>Добавить централизованную систему для дифференциации</v>
      </c>
      <c r="AY59" s="720"/>
      <c r="AZ59" s="720"/>
      <c r="BA59" s="455">
        <v>1</v>
      </c>
    </row>
    <row r="60" spans="1:53" s="1569" customFormat="1" ht="0.75" customHeight="1">
      <c r="A60" s="1270" t="s">
        <v>245</v>
      </c>
      <c r="B60" s="1270"/>
      <c r="C60" s="1270"/>
      <c r="D60" s="1270"/>
      <c r="E60" s="2897"/>
      <c r="F60" s="1270"/>
      <c r="G60" s="1270"/>
      <c r="H60" s="1270"/>
      <c r="I60" s="1270"/>
      <c r="J60" s="1270"/>
      <c r="K60" s="1270"/>
      <c r="L60" s="1273"/>
      <c r="M60" s="1248"/>
      <c r="N60" s="1248"/>
      <c r="O60" s="455"/>
      <c r="P60" s="317"/>
      <c r="Q60" s="1271"/>
      <c r="R60" s="317"/>
      <c r="S60" s="1249"/>
      <c r="T60" s="1252" t="s">
        <v>178</v>
      </c>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W60" s="437"/>
      <c r="AX60" s="437" t="str">
        <f t="shared" si="3"/>
        <v>Добавить территорию для дифференциации</v>
      </c>
      <c r="AY60" s="437"/>
      <c r="AZ60" s="437"/>
      <c r="BA60" s="448">
        <v>1</v>
      </c>
    </row>
    <row r="61" spans="1:53" s="1569" customFormat="1" ht="0.75" customHeight="1">
      <c r="A61" s="1270" t="s">
        <v>245</v>
      </c>
      <c r="B61" s="1270"/>
      <c r="C61" s="1270"/>
      <c r="D61" s="1270"/>
      <c r="E61" s="2896"/>
      <c r="F61" s="1270"/>
      <c r="G61" s="1270"/>
      <c r="H61" s="1270"/>
      <c r="I61" s="1270"/>
      <c r="J61" s="1270"/>
      <c r="K61" s="1270"/>
      <c r="L61" s="1273"/>
      <c r="M61" s="1248"/>
      <c r="N61" s="1248"/>
      <c r="O61" s="455"/>
      <c r="P61" s="317"/>
      <c r="Q61" s="1271"/>
      <c r="R61" s="317"/>
      <c r="S61" s="1249"/>
      <c r="T61" s="1252" t="s">
        <v>178</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W61" s="437"/>
      <c r="AX61" s="437" t="str">
        <f t="shared" si="3"/>
        <v>Добавить территорию для дифференциации</v>
      </c>
      <c r="AY61" s="437"/>
      <c r="AZ61" s="437"/>
      <c r="BA61" s="448">
        <v>1</v>
      </c>
    </row>
    <row r="62" spans="1:53" s="1569" customFormat="1" ht="0.75" customHeight="1">
      <c r="A62" s="1241"/>
      <c r="B62" s="1241"/>
      <c r="C62" s="1241"/>
      <c r="D62" s="1241"/>
      <c r="E62" s="1270"/>
      <c r="F62" s="1241"/>
      <c r="G62" s="1241"/>
      <c r="H62" s="1241"/>
      <c r="I62" s="1241"/>
      <c r="J62" s="1241"/>
      <c r="K62" s="1241"/>
      <c r="L62" s="1266"/>
      <c r="M62" s="1248"/>
      <c r="N62" s="1248"/>
      <c r="P62" s="1243"/>
      <c r="Q62" s="1244"/>
      <c r="R62" s="1243"/>
      <c r="S62" s="1249"/>
      <c r="T62" s="1252" t="s">
        <v>212</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W62" s="720"/>
      <c r="AX62" s="720" t="str">
        <f t="shared" si="3"/>
        <v>Добавить наименование тарифа</v>
      </c>
      <c r="AY62" s="720"/>
      <c r="AZ62" s="720"/>
      <c r="BA62" s="455">
        <v>1</v>
      </c>
    </row>
    <row r="63" spans="1:53" ht="11.25" customHeight="1">
      <c r="M63" s="1087"/>
      <c r="N63" s="1087"/>
      <c r="O63" s="474"/>
      <c r="P63" s="1087"/>
      <c r="Q63" s="1087"/>
      <c r="R63" s="1082"/>
      <c r="S63" s="1082"/>
      <c r="AV63" s="1082"/>
      <c r="AW63" s="1082"/>
      <c r="AX63" s="1082"/>
      <c r="AY63" s="1082"/>
      <c r="AZ63" s="1082"/>
      <c r="BA63" s="1082">
        <v>11</v>
      </c>
    </row>
    <row r="64" spans="1:53" ht="20.25" customHeight="1">
      <c r="O64" s="474"/>
      <c r="S64" s="1180"/>
      <c r="T64" s="2895"/>
      <c r="U64" s="2895"/>
      <c r="V64" s="2895"/>
      <c r="W64" s="2895"/>
      <c r="X64" s="2895"/>
      <c r="Y64" s="2895"/>
      <c r="Z64" s="2895"/>
      <c r="AA64" s="2895"/>
      <c r="AB64" s="2895"/>
      <c r="AC64" s="2895"/>
      <c r="AD64" s="2895"/>
      <c r="AE64" s="2895"/>
      <c r="AF64" s="2895"/>
      <c r="AG64" s="2895"/>
      <c r="AH64" s="2895"/>
      <c r="AI64" s="2895"/>
      <c r="AJ64" s="2895"/>
      <c r="AK64" s="2895"/>
      <c r="AL64" s="2895"/>
      <c r="AM64" s="2895"/>
      <c r="AN64" s="2895"/>
      <c r="AO64" s="2895"/>
      <c r="AP64" s="2895"/>
      <c r="AQ64" s="2895"/>
      <c r="AR64" s="2895"/>
      <c r="AS64" s="2895"/>
      <c r="AT64" s="2895"/>
      <c r="AU64" s="2895"/>
      <c r="BA64" s="1082">
        <v>19</v>
      </c>
    </row>
    <row r="65" spans="1:53" ht="21" customHeight="1">
      <c r="O65" s="474"/>
      <c r="T65" s="2895"/>
      <c r="U65" s="2895"/>
      <c r="V65" s="2895"/>
      <c r="W65" s="2895"/>
      <c r="X65" s="2895"/>
      <c r="Y65" s="2895"/>
      <c r="Z65" s="2895"/>
      <c r="AA65" s="2895"/>
      <c r="AB65" s="2895"/>
      <c r="AC65" s="2895"/>
      <c r="AD65" s="2895"/>
      <c r="AE65" s="2895"/>
      <c r="AF65" s="2895"/>
      <c r="AG65" s="2895"/>
      <c r="AH65" s="2895"/>
      <c r="AI65" s="2895"/>
      <c r="AJ65" s="2895"/>
      <c r="AK65" s="2895"/>
      <c r="AL65" s="2895"/>
      <c r="AM65" s="2895"/>
      <c r="AN65" s="2895"/>
      <c r="AO65" s="2895"/>
      <c r="AP65" s="2895"/>
      <c r="AQ65" s="2895"/>
      <c r="AR65" s="2895"/>
      <c r="AS65" s="2895"/>
      <c r="AT65" s="2895"/>
      <c r="AU65" s="2895"/>
      <c r="BA65" s="1082">
        <v>20</v>
      </c>
    </row>
    <row r="66" spans="1:53" ht="15" customHeight="1">
      <c r="O66" s="474"/>
      <c r="T66" s="1260"/>
      <c r="U66" s="1260"/>
      <c r="V66" s="1260"/>
      <c r="W66" s="1260"/>
      <c r="X66" s="1260"/>
      <c r="Y66" s="1260"/>
      <c r="Z66" s="1260"/>
      <c r="AA66" s="1260"/>
      <c r="AB66" s="1260"/>
      <c r="AC66" s="1260"/>
      <c r="AD66" s="1260"/>
      <c r="AE66" s="1260"/>
      <c r="AF66" s="1260"/>
      <c r="AG66" s="1260"/>
      <c r="AH66" s="1260"/>
      <c r="AI66" s="1260"/>
      <c r="AJ66" s="1260"/>
      <c r="AK66" s="1260"/>
      <c r="AL66" s="1260"/>
      <c r="AM66" s="1260"/>
      <c r="AN66" s="1260"/>
      <c r="AO66" s="1260"/>
      <c r="AP66" s="1260"/>
      <c r="AQ66" s="1260"/>
      <c r="AR66" s="1260"/>
      <c r="AS66" s="1260"/>
      <c r="AT66" s="1260"/>
      <c r="AU66" s="1260"/>
      <c r="BA66" s="1082">
        <v>14</v>
      </c>
    </row>
    <row r="67" spans="1:53" ht="20.25" customHeight="1">
      <c r="O67" s="474"/>
      <c r="T67" s="2895"/>
      <c r="U67" s="2895"/>
      <c r="V67" s="2895"/>
      <c r="W67" s="2895"/>
      <c r="X67" s="2895"/>
      <c r="Y67" s="2895"/>
      <c r="Z67" s="2895"/>
      <c r="AA67" s="2895"/>
      <c r="AB67" s="2895"/>
      <c r="AC67" s="2895"/>
      <c r="AD67" s="2895"/>
      <c r="AE67" s="2895"/>
      <c r="AF67" s="2895"/>
      <c r="AG67" s="2895"/>
      <c r="AH67" s="2895"/>
      <c r="AI67" s="2895"/>
      <c r="AJ67" s="2895"/>
      <c r="AK67" s="2895"/>
      <c r="AL67" s="2895"/>
      <c r="AM67" s="2895"/>
      <c r="AN67" s="2895"/>
      <c r="AO67" s="2895"/>
      <c r="AP67" s="2895"/>
      <c r="AQ67" s="2895"/>
      <c r="AR67" s="2895"/>
      <c r="AS67" s="2895"/>
      <c r="AT67" s="2895"/>
      <c r="AU67" s="2895"/>
      <c r="BA67" s="1082">
        <v>19</v>
      </c>
    </row>
    <row r="68" spans="1:53" ht="16.5" customHeight="1">
      <c r="O68" s="474"/>
      <c r="T68" s="2895"/>
      <c r="U68" s="2895"/>
      <c r="V68" s="2895"/>
      <c r="W68" s="2895"/>
      <c r="X68" s="2895"/>
      <c r="Y68" s="2895"/>
      <c r="Z68" s="2895"/>
      <c r="AA68" s="2895"/>
      <c r="AB68" s="2895"/>
      <c r="AC68" s="2895"/>
      <c r="AD68" s="2895"/>
      <c r="AE68" s="2895"/>
      <c r="AF68" s="2895"/>
      <c r="AG68" s="2895"/>
      <c r="AH68" s="2895"/>
      <c r="AI68" s="2895"/>
      <c r="AJ68" s="2895"/>
      <c r="AK68" s="2895"/>
      <c r="AL68" s="2895"/>
      <c r="AM68" s="2895"/>
      <c r="AN68" s="2895"/>
      <c r="AO68" s="2895"/>
      <c r="AP68" s="2895"/>
      <c r="AQ68" s="2895"/>
      <c r="AR68" s="2895"/>
      <c r="AS68" s="2895"/>
      <c r="AT68" s="2895"/>
      <c r="AU68" s="2895"/>
      <c r="BA68" s="1082">
        <v>16</v>
      </c>
    </row>
    <row r="69" spans="1:53" ht="15" customHeight="1">
      <c r="O69" s="474"/>
      <c r="BA69" s="1082">
        <v>14</v>
      </c>
    </row>
    <row r="70" spans="1:53" ht="22.5" hidden="1" customHeight="1">
      <c r="A70" s="1087" t="s">
        <v>87</v>
      </c>
      <c r="B70" s="1087">
        <v>0</v>
      </c>
      <c r="C70" s="1087">
        <v>0</v>
      </c>
      <c r="D70" s="1087">
        <v>0</v>
      </c>
      <c r="E70" s="1087">
        <v>0</v>
      </c>
      <c r="F70" s="1087">
        <v>0</v>
      </c>
      <c r="G70" s="1087">
        <v>0</v>
      </c>
      <c r="H70" s="1087">
        <v>0</v>
      </c>
      <c r="I70" s="1087">
        <v>0</v>
      </c>
      <c r="J70" s="1087">
        <v>0</v>
      </c>
      <c r="K70" s="1087">
        <v>0</v>
      </c>
      <c r="L70" s="1256">
        <v>0</v>
      </c>
      <c r="M70" s="1289">
        <v>0</v>
      </c>
      <c r="N70" s="1289">
        <v>0</v>
      </c>
      <c r="O70" s="1289">
        <v>0</v>
      </c>
      <c r="P70" s="1289">
        <v>3</v>
      </c>
      <c r="Q70" s="1298">
        <v>3</v>
      </c>
      <c r="R70" s="282">
        <v>3</v>
      </c>
      <c r="S70" s="518">
        <v>12</v>
      </c>
      <c r="T70" s="1082">
        <v>31</v>
      </c>
      <c r="U70" s="1082">
        <v>0</v>
      </c>
      <c r="V70" s="1082">
        <v>0</v>
      </c>
      <c r="W70" s="1082">
        <v>0</v>
      </c>
      <c r="X70" s="1082">
        <v>0</v>
      </c>
      <c r="Y70" s="1082">
        <v>0</v>
      </c>
      <c r="Z70" s="1082">
        <v>0</v>
      </c>
      <c r="AA70" s="1082">
        <v>0</v>
      </c>
      <c r="AB70" s="1082">
        <v>5</v>
      </c>
      <c r="AC70" s="1082">
        <v>3</v>
      </c>
      <c r="AD70" s="1082">
        <v>3</v>
      </c>
      <c r="AE70" s="1082">
        <v>24</v>
      </c>
      <c r="AF70" s="1082">
        <v>3</v>
      </c>
      <c r="AG70" s="1082">
        <v>3</v>
      </c>
      <c r="AH70" s="1082">
        <v>3</v>
      </c>
      <c r="AI70" s="1082">
        <v>24</v>
      </c>
      <c r="AJ70" s="1082">
        <v>3</v>
      </c>
      <c r="AK70" s="1082">
        <v>3</v>
      </c>
      <c r="AL70" s="1082">
        <v>3</v>
      </c>
      <c r="AM70" s="1082">
        <v>18</v>
      </c>
      <c r="AN70" s="1082">
        <v>21</v>
      </c>
      <c r="AO70" s="1082">
        <v>21</v>
      </c>
      <c r="AP70" s="1082">
        <v>11</v>
      </c>
      <c r="AQ70" s="1082">
        <v>3</v>
      </c>
      <c r="AR70" s="1082">
        <v>11</v>
      </c>
      <c r="AS70" s="1082">
        <v>8</v>
      </c>
      <c r="AT70" s="1082">
        <v>4</v>
      </c>
      <c r="AU70" s="1082">
        <v>115</v>
      </c>
      <c r="AV70" s="448">
        <v>10</v>
      </c>
      <c r="AW70" s="448">
        <v>10</v>
      </c>
      <c r="AX70" s="448">
        <v>10</v>
      </c>
      <c r="AY70" s="448">
        <v>10</v>
      </c>
      <c r="AZ70" s="448">
        <v>10</v>
      </c>
      <c r="BA70" s="1082">
        <v>23</v>
      </c>
    </row>
  </sheetData>
  <sheetProtection formatColumns="0" formatRows="0" insertRows="0" deleteColumns="0" deleteRows="0" sort="0" autoFilter="0"/>
  <mergeCells count="119">
    <mergeCell ref="AU8:AU12"/>
    <mergeCell ref="AJ8:AJ9"/>
    <mergeCell ref="AB8:AB11"/>
    <mergeCell ref="AC8:AC10"/>
    <mergeCell ref="AD8:AD10"/>
    <mergeCell ref="AI8:AI9"/>
    <mergeCell ref="S33:T33"/>
    <mergeCell ref="V33:Z33"/>
    <mergeCell ref="AB33:AR33"/>
    <mergeCell ref="S32:T32"/>
    <mergeCell ref="V32:Z32"/>
    <mergeCell ref="AB32:AR32"/>
    <mergeCell ref="AB2:AT2"/>
    <mergeCell ref="V3:AA3"/>
    <mergeCell ref="AB3:AT3"/>
    <mergeCell ref="V4:AA4"/>
    <mergeCell ref="AB4:AT4"/>
    <mergeCell ref="AB5:AT5"/>
    <mergeCell ref="AB6:AT6"/>
    <mergeCell ref="AB7:AT7"/>
    <mergeCell ref="S36:T36"/>
    <mergeCell ref="V36:Z36"/>
    <mergeCell ref="AB36:AR36"/>
    <mergeCell ref="S27:AR27"/>
    <mergeCell ref="S28:AR28"/>
    <mergeCell ref="S30:T30"/>
    <mergeCell ref="V30:Z30"/>
    <mergeCell ref="AB30:AR30"/>
    <mergeCell ref="S31:T31"/>
    <mergeCell ref="V31:Z31"/>
    <mergeCell ref="AB31:AR31"/>
    <mergeCell ref="AE8:AE10"/>
    <mergeCell ref="AF8:AF10"/>
    <mergeCell ref="AG8:AG9"/>
    <mergeCell ref="AH8:AH9"/>
    <mergeCell ref="AP41:AR42"/>
    <mergeCell ref="S40:S43"/>
    <mergeCell ref="S39:AT39"/>
    <mergeCell ref="AN40:AR40"/>
    <mergeCell ref="AB40:AE43"/>
    <mergeCell ref="AF40:AI43"/>
    <mergeCell ref="S35:T35"/>
    <mergeCell ref="V35:Z35"/>
    <mergeCell ref="AB35:AR35"/>
    <mergeCell ref="V38:AA38"/>
    <mergeCell ref="AB38:AS38"/>
    <mergeCell ref="AA40:AA43"/>
    <mergeCell ref="AS40:AS43"/>
    <mergeCell ref="AT40:AT43"/>
    <mergeCell ref="AN41:AO41"/>
    <mergeCell ref="AN42:AO42"/>
    <mergeCell ref="V41:W41"/>
    <mergeCell ref="V42:W42"/>
    <mergeCell ref="E45:E61"/>
    <mergeCell ref="V45:AA45"/>
    <mergeCell ref="AB45:AT45"/>
    <mergeCell ref="F46:F59"/>
    <mergeCell ref="V46:AA46"/>
    <mergeCell ref="AB46:AT46"/>
    <mergeCell ref="G47:G58"/>
    <mergeCell ref="V47:AA47"/>
    <mergeCell ref="AB47:AT47"/>
    <mergeCell ref="H48:H57"/>
    <mergeCell ref="V48:AA48"/>
    <mergeCell ref="AB48:AT48"/>
    <mergeCell ref="I49:I56"/>
    <mergeCell ref="P49:P56"/>
    <mergeCell ref="V49:AA49"/>
    <mergeCell ref="AB49:AT49"/>
    <mergeCell ref="J50:J55"/>
    <mergeCell ref="Q50:Q55"/>
    <mergeCell ref="V50:AA50"/>
    <mergeCell ref="AB50:AT50"/>
    <mergeCell ref="K51:K54"/>
    <mergeCell ref="S51:S54"/>
    <mergeCell ref="E2:E17"/>
    <mergeCell ref="F3:F16"/>
    <mergeCell ref="G4:G15"/>
    <mergeCell ref="H5:H14"/>
    <mergeCell ref="V5:AA5"/>
    <mergeCell ref="X8:X11"/>
    <mergeCell ref="Y8:Y11"/>
    <mergeCell ref="Z8:Z11"/>
    <mergeCell ref="AA8:AA11"/>
    <mergeCell ref="V2:AA2"/>
    <mergeCell ref="I6:I13"/>
    <mergeCell ref="P6:P13"/>
    <mergeCell ref="V6:AA6"/>
    <mergeCell ref="J7:J12"/>
    <mergeCell ref="Q7:Q12"/>
    <mergeCell ref="V7:AA7"/>
    <mergeCell ref="K8:K11"/>
    <mergeCell ref="S8:S11"/>
    <mergeCell ref="T8:T11"/>
    <mergeCell ref="R8:R11"/>
    <mergeCell ref="T67:AU67"/>
    <mergeCell ref="T68:AU68"/>
    <mergeCell ref="AI51:AI52"/>
    <mergeCell ref="AJ51:AJ52"/>
    <mergeCell ref="AJ40:AM43"/>
    <mergeCell ref="AD51:AD53"/>
    <mergeCell ref="AE51:AE53"/>
    <mergeCell ref="AF51:AF53"/>
    <mergeCell ref="AG51:AG52"/>
    <mergeCell ref="AH51:AH52"/>
    <mergeCell ref="T64:AU64"/>
    <mergeCell ref="T65:AU65"/>
    <mergeCell ref="T51:T54"/>
    <mergeCell ref="AB51:AB54"/>
    <mergeCell ref="AC51:AC53"/>
    <mergeCell ref="AU39:AU43"/>
    <mergeCell ref="T40:T43"/>
    <mergeCell ref="V40:Z40"/>
    <mergeCell ref="AU51:AU55"/>
    <mergeCell ref="Y44:Z44"/>
    <mergeCell ref="AQ44:AR44"/>
    <mergeCell ref="X41:Z42"/>
    <mergeCell ref="Y43:Z43"/>
    <mergeCell ref="AQ43:AR43"/>
  </mergeCells>
  <dataValidations count="10">
    <dataValidation allowBlank="1" errorTitle="Ошибка" error="Выберите значение из списка" sqref="V42:W42"/>
    <dataValidation type="list" allowBlank="1" showInputMessage="1" showErrorMessage="1" errorTitle="Ошибка" error="Выберите значение из списка" prompt="Выберите значение из списка" sqref="AN42:AO42">
      <formula1>UNIT_CONNECT_LIST</formula1>
    </dataValidation>
    <dataValidation type="list" allowBlank="1" showInputMessage="1" errorTitle="Ошибка" error="Выберите значение из списка" prompt="Выберите значение из списка" sqref="V917557:AT917557 V983093:AT983093 V65589:AT65589 V131125:AT131125 V196661:AT196661 V262197:AT262197 V327733:AT327733 V393269:AT393269 V458805:AT458805 V524341:AT524341 V589877:AT589877 V655413:AT655413 V720949:AT720949 V786485:AT786485 V852021:AT852021">
      <formula1>kind_of_cons</formula1>
    </dataValidation>
    <dataValidation allowBlank="1" sqref="S131128:AU131134 S196664:AU196670 S262200:AU262206 S327736:AU327742 S393272:AU393278 S458808:AU458814 S524344:AU524350 S589880:AU589886 S655416:AU655422 S720952:AU720958 S786488:AU786494 S852024:AU852030 S917560:AU917566 S983096:AU983102 S65592:AU65598"/>
    <dataValidation type="list" allowBlank="1" showInputMessage="1" showErrorMessage="1" errorTitle="Ошибка" error="Выберите значение из списка" sqref="T65590 T131126 T196662 T262198 T327734 T393270 T458806 T524342 T589878 T655414 T720950 T786486 T852022 T917558 T983094">
      <formula1>kind_of_heat_transfer</formula1>
    </dataValidation>
    <dataValidation type="list" allowBlank="1" showInputMessage="1" showErrorMessage="1" errorTitle="Ошибка" error="Выберите значение из списка" sqref="AB983092:AM983092 AB65588:AM65588 AB131124:AM131124 AB196660:AM196660 AB262196:AM262196 AB327732:AM327732 AB393268:AM393268 AB458804:AM458804 AB524340:AM524340 AB589876:AM589876 AB655412:AM655412 AB720948:AM720948 AB786484:AM786484 AB852020:AM852020 AB917556:AM917556">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90 X131126 X196662 X262198 X327734 X393270 X458806 X524342 X589878 X655414 X720950 X786486 X852022 X917558 X983094 Z65590 Z131126 Z196662 Z262198 Z327734 Z393270 Z458806 Z524342 Z589878 Z655414 Z720950 Z786486 Z852022 Z917558 Z983094 X8:X10 Z8:Z10 AP65590 AP131126 AP196662 AP262198 AP327734 AP393270 AP458806 AP524342 AP589878 AP655414 AP720950 AP786486 AP852022 AP917558 AP983094 AR65590 AR131126 AR196662 AR262198 AR327734 AR393270 AR458806 AR524342 AR589878 AR655414 AR720950 AR786486 AR852022 AR917558 AR983094 AR8 AR51 AR19 AP19 AP8 AP51 Z51 X51"/>
    <dataValidation allowBlank="1" promptTitle="checkPeriodRange" sqref="W65591 W131127 W196663 W262199 W327735 W393271 W458807 W524343 W589879 W655415 W720951 W786487 W852023 W917559 W983095 AO54 W11 AO65591 AO131127 AO196663 AO262199 AO327735 AO393271 AO458807 AO524343 AO589879 AO655415 AO720951 AO786487 AO852023 AO917559 AO983095 AO11 W54"/>
    <dataValidation type="textLength" operator="lessThanOrEqual" allowBlank="1" showInputMessage="1" showErrorMessage="1" errorTitle="Ошибка" error="Допускается ввод не более 900 символов!" sqref="AU65584:AU65591 AU131120:AU131127 AU196656:AU196663 AU262192:AU262199 AU327728:AU327735 AU393264:AU393271 AU458800:AU458807 AU524336:AU524343 AU589872:AU589879 AU655408:AU655415 AU720944:AU720951 AU786480:AU786487 AU852016:AU852023 AU917552:AU917559 AU983088:AU983095 T8:T11 T51:T54">
      <formula1>900</formula1>
    </dataValidation>
    <dataValidation allowBlank="1" showInputMessage="1" showErrorMessage="1" prompt="Для выбора выполните двойной щелчок левой клавиши мыши по соответствующей ячейке." sqref="Y65590 Y131126 Y196662 Y262198 Y327734 Y393270 Y458806 Y524342 Y589878 Y655414 Y720950 Y786486 Y852022 Y917558 Y983094 AA131126 AA458806 AA196662 AA262198 AA327734 AA393270 AA524342 AA589878 AA655414 AA720950 AA786486 AA852022 AA917558 AA983094 AA65590 AA8:AA10 Y8:Y10 AQ65590 AQ131126 AQ196662 AQ262198 AQ327734 AQ393270 AQ458806 AQ524342 AQ589878 AQ655414 AQ720950 AQ786486 AQ852022 AQ917558 AQ983094 AS131126 AS458806 AS196662 AS262198 AS327734 AS393270 AS524342 AS589878 AS655414 AS720950 AS786486 AS852022 AS917558 AS983094 AS65590 AQ8 AB8 AE8:AF8 AI8:AJ8 AQ19 AS51 AS19 AB19 AE19:AF19 AI19:AJ19 AI51:AJ51 AE51:AF51 AA51:AB51 AS8 AQ51 Y51"/>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896">
        <v>1</v>
      </c>
      <c r="F2" s="1290"/>
      <c r="G2" s="1290"/>
      <c r="H2" s="1290"/>
      <c r="I2" s="1290"/>
      <c r="J2" s="1290"/>
      <c r="K2" s="1290"/>
      <c r="L2" s="1291"/>
      <c r="M2" s="1292"/>
      <c r="N2" s="1292"/>
      <c r="O2" s="1292"/>
      <c r="P2" s="298"/>
      <c r="Q2" s="297"/>
      <c r="R2" s="292"/>
      <c r="S2" s="1352" t="e">
        <f>INDEX(PT_DIFFERENTIATION_NUM_NTAR,MATCH(A2,PT_DIFFERENTIATION_NTAR_ID,0))</f>
        <v>#N/A</v>
      </c>
      <c r="T2" s="236" t="s">
        <v>128</v>
      </c>
      <c r="U2" s="238"/>
      <c r="V2" s="2890"/>
      <c r="W2" s="2891"/>
      <c r="X2" s="2891"/>
      <c r="Y2" s="2891"/>
      <c r="Z2" s="2891"/>
      <c r="AA2" s="2891"/>
      <c r="AB2" s="2892"/>
      <c r="AC2" s="2890" t="e">
        <f>INDEX(PT_DIFFERENTIATION_NTAR,MATCH(A2,PT_DIFFERENTIATION_NTAR_ID,0))</f>
        <v>#N/A</v>
      </c>
      <c r="AD2" s="2891"/>
      <c r="AE2" s="2891"/>
      <c r="AF2" s="2891"/>
      <c r="AG2" s="2891"/>
      <c r="AH2" s="2891"/>
      <c r="AI2" s="2891"/>
      <c r="AJ2" s="289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97"/>
      <c r="F3" s="2896">
        <v>1</v>
      </c>
      <c r="G3" s="1290"/>
      <c r="H3" s="1290"/>
      <c r="I3" s="1290"/>
      <c r="J3" s="1290"/>
      <c r="K3" s="1290"/>
      <c r="L3" s="1291"/>
      <c r="M3" s="1292"/>
      <c r="N3" s="1292"/>
      <c r="O3" s="1292"/>
      <c r="P3" s="1350"/>
      <c r="Q3" s="289"/>
      <c r="R3" s="290"/>
      <c r="S3" s="1352" t="e">
        <f>INDEX(PT_DIFFERENTIATION_NUM_TER,MATCH(B3,PT_DIFFERENTIATION_TER_ID,0))</f>
        <v>#N/A</v>
      </c>
      <c r="T3" s="246" t="s">
        <v>442</v>
      </c>
      <c r="U3" s="238"/>
      <c r="V3" s="2890"/>
      <c r="W3" s="2891"/>
      <c r="X3" s="2891"/>
      <c r="Y3" s="2891"/>
      <c r="Z3" s="2891"/>
      <c r="AA3" s="2891"/>
      <c r="AB3" s="2892"/>
      <c r="AC3" s="2890" t="e">
        <f>INDEX(PT_DIFFERENTIATION_TER,MATCH(B3,PT_DIFFERENTIATION_TER_ID,0))</f>
        <v>#N/A</v>
      </c>
      <c r="AD3" s="2891"/>
      <c r="AE3" s="2891"/>
      <c r="AF3" s="2891"/>
      <c r="AG3" s="2891"/>
      <c r="AH3" s="2891"/>
      <c r="AI3" s="2891"/>
      <c r="AJ3" s="2892"/>
      <c r="AK3" s="1185" t="s">
        <v>443</v>
      </c>
      <c r="AM3" s="437"/>
      <c r="AN3" s="437" t="str">
        <f t="shared" si="0"/>
        <v>Территория действия тарифа</v>
      </c>
      <c r="AO3" s="437"/>
      <c r="AP3" s="437"/>
      <c r="AQ3" s="1082">
        <v>0</v>
      </c>
    </row>
    <row r="4" spans="1:43" ht="23.25" hidden="1" customHeight="1">
      <c r="A4" s="1290"/>
      <c r="B4" s="1290"/>
      <c r="C4" s="1290"/>
      <c r="D4" s="1290"/>
      <c r="E4" s="2897"/>
      <c r="F4" s="2897"/>
      <c r="G4" s="2896">
        <v>1</v>
      </c>
      <c r="H4" s="1290"/>
      <c r="I4" s="1290"/>
      <c r="J4" s="1290"/>
      <c r="K4" s="1290"/>
      <c r="L4" s="1291"/>
      <c r="M4" s="1292"/>
      <c r="N4" s="1292"/>
      <c r="O4" s="1292"/>
      <c r="P4" s="291"/>
      <c r="Q4" s="289"/>
      <c r="R4" s="290"/>
      <c r="S4" s="1352" t="e">
        <f>INDEX(PT_DIFFERENTIATION_NUM_CS,MATCH(C4,PT_DIFFERENTIATION_CS_ID,0))</f>
        <v>#N/A</v>
      </c>
      <c r="T4" s="247" t="s">
        <v>527</v>
      </c>
      <c r="U4" s="238"/>
      <c r="V4" s="2890"/>
      <c r="W4" s="2891"/>
      <c r="X4" s="2891"/>
      <c r="Y4" s="2891"/>
      <c r="Z4" s="2891"/>
      <c r="AA4" s="2891"/>
      <c r="AB4" s="2892"/>
      <c r="AC4" s="2890" t="e">
        <f>INDEX(PT_DIFFERENTIATION_CS,MATCH(C4,PT_DIFFERENTIATION_CS_ID,0))</f>
        <v>#N/A</v>
      </c>
      <c r="AD4" s="2891"/>
      <c r="AE4" s="2891"/>
      <c r="AF4" s="2891"/>
      <c r="AG4" s="2891"/>
      <c r="AH4" s="2891"/>
      <c r="AI4" s="2891"/>
      <c r="AJ4" s="2892"/>
      <c r="AK4" s="1185" t="s">
        <v>528</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97"/>
      <c r="F5" s="2897"/>
      <c r="G5" s="2897"/>
      <c r="H5" s="2897"/>
      <c r="I5" s="2898" t="e">
        <f>S4&amp;".1"</f>
        <v>#N/A</v>
      </c>
      <c r="J5" s="1290"/>
      <c r="K5" s="1290"/>
      <c r="L5" s="1291"/>
      <c r="P5" s="2900">
        <v>1</v>
      </c>
      <c r="Q5" s="1349"/>
      <c r="R5" s="293"/>
      <c r="S5" s="1352" t="e">
        <f>$I5</f>
        <v>#N/A</v>
      </c>
      <c r="T5" s="223" t="s">
        <v>529</v>
      </c>
      <c r="U5" s="238"/>
      <c r="V5" s="2965"/>
      <c r="W5" s="2966"/>
      <c r="X5" s="2966"/>
      <c r="Y5" s="2966"/>
      <c r="Z5" s="2966"/>
      <c r="AA5" s="2966"/>
      <c r="AB5" s="2967"/>
      <c r="AC5" s="2968"/>
      <c r="AD5" s="2969"/>
      <c r="AE5" s="2969"/>
      <c r="AF5" s="2969"/>
      <c r="AG5" s="2969"/>
      <c r="AH5" s="2969"/>
      <c r="AI5" s="2969"/>
      <c r="AJ5" s="2970"/>
      <c r="AK5" s="1185" t="s">
        <v>530</v>
      </c>
      <c r="AM5" s="437"/>
      <c r="AN5" s="437" t="str">
        <f t="shared" si="0"/>
        <v>Наименование признака дифференциации</v>
      </c>
      <c r="AO5" s="437"/>
      <c r="AP5" s="437"/>
      <c r="AQ5" s="1082">
        <v>0</v>
      </c>
    </row>
    <row r="6" spans="1:43" ht="23.25" hidden="1" customHeight="1">
      <c r="A6" s="1290"/>
      <c r="B6" s="1290"/>
      <c r="C6" s="1290"/>
      <c r="D6" s="1290"/>
      <c r="E6" s="2897"/>
      <c r="F6" s="2897"/>
      <c r="G6" s="2897"/>
      <c r="H6" s="2897"/>
      <c r="I6" s="2899"/>
      <c r="J6" s="2898" t="e">
        <f>I5&amp;".1"</f>
        <v>#N/A</v>
      </c>
      <c r="K6" s="1290"/>
      <c r="L6" s="1291" t="s">
        <v>451</v>
      </c>
      <c r="P6" s="2900"/>
      <c r="Q6" s="2900">
        <v>1</v>
      </c>
      <c r="R6" s="294"/>
      <c r="S6" s="1352" t="e">
        <f>$J6</f>
        <v>#N/A</v>
      </c>
      <c r="T6" s="224" t="s">
        <v>452</v>
      </c>
      <c r="U6" s="238"/>
      <c r="V6" s="2884"/>
      <c r="W6" s="2885"/>
      <c r="X6" s="2885"/>
      <c r="Y6" s="2885"/>
      <c r="Z6" s="2885"/>
      <c r="AA6" s="2885"/>
      <c r="AB6" s="2886"/>
      <c r="AC6" s="2884"/>
      <c r="AD6" s="2885"/>
      <c r="AE6" s="2885"/>
      <c r="AF6" s="2885"/>
      <c r="AG6" s="2885"/>
      <c r="AH6" s="2885"/>
      <c r="AI6" s="2885"/>
      <c r="AJ6" s="2886"/>
      <c r="AK6" s="1234" t="s">
        <v>531</v>
      </c>
      <c r="AM6" s="437"/>
      <c r="AN6" s="437" t="str">
        <f t="shared" si="0"/>
        <v>Группа потребителей</v>
      </c>
      <c r="AO6" s="437"/>
      <c r="AP6" s="437"/>
      <c r="AQ6" s="1082">
        <v>0</v>
      </c>
    </row>
    <row r="7" spans="1:43" ht="23.25" hidden="1" customHeight="1">
      <c r="A7" s="1290"/>
      <c r="B7" s="1290"/>
      <c r="C7" s="1290"/>
      <c r="D7" s="1290"/>
      <c r="E7" s="2897"/>
      <c r="F7" s="2897"/>
      <c r="G7" s="2897"/>
      <c r="H7" s="2897"/>
      <c r="I7" s="2899"/>
      <c r="J7" s="2899"/>
      <c r="K7" s="2898" t="e">
        <f>J6&amp;".1"</f>
        <v>#N/A</v>
      </c>
      <c r="L7" s="1291"/>
      <c r="P7" s="2900"/>
      <c r="Q7" s="2900"/>
      <c r="R7" s="294">
        <v>1</v>
      </c>
      <c r="S7" s="1352" t="e">
        <f>$K7</f>
        <v>#N/A</v>
      </c>
      <c r="T7" s="1364"/>
      <c r="U7" s="238"/>
      <c r="V7" s="688"/>
      <c r="W7" s="688"/>
      <c r="X7" s="1184"/>
      <c r="Y7" s="2901"/>
      <c r="Z7" s="2768" t="s">
        <v>71</v>
      </c>
      <c r="AA7" s="2901"/>
      <c r="AB7" s="2768" t="s">
        <v>71</v>
      </c>
      <c r="AC7" s="688"/>
      <c r="AD7" s="688"/>
      <c r="AE7" s="1184"/>
      <c r="AF7" s="2901"/>
      <c r="AG7" s="2768" t="s">
        <v>71</v>
      </c>
      <c r="AH7" s="2903"/>
      <c r="AI7" s="2768" t="s">
        <v>71</v>
      </c>
      <c r="AJ7" s="1365"/>
      <c r="AK7" s="29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97"/>
      <c r="F8" s="2897"/>
      <c r="G8" s="2897"/>
      <c r="H8" s="2897"/>
      <c r="I8" s="2899"/>
      <c r="J8" s="2899"/>
      <c r="K8" s="2898"/>
      <c r="L8" s="1291"/>
      <c r="P8" s="2900"/>
      <c r="Q8" s="2900"/>
      <c r="R8" s="294"/>
      <c r="S8" s="1351"/>
      <c r="T8" s="238"/>
      <c r="U8" s="238"/>
      <c r="V8" s="263"/>
      <c r="W8" s="263"/>
      <c r="X8" s="266" t="str">
        <f>Y7&amp;"-"&amp;AA7</f>
        <v>-</v>
      </c>
      <c r="Y8" s="2902"/>
      <c r="Z8" s="2768"/>
      <c r="AA8" s="2902"/>
      <c r="AB8" s="2768"/>
      <c r="AC8" s="263"/>
      <c r="AD8" s="263"/>
      <c r="AE8" s="266" t="str">
        <f>AF7&amp;"-"&amp;AH7</f>
        <v>-</v>
      </c>
      <c r="AF8" s="2902"/>
      <c r="AG8" s="2768"/>
      <c r="AH8" s="2904"/>
      <c r="AI8" s="2768"/>
      <c r="AJ8" s="1366"/>
      <c r="AK8" s="2971"/>
      <c r="AM8" s="437"/>
      <c r="AN8" s="437" t="str">
        <f t="shared" si="0"/>
        <v/>
      </c>
      <c r="AO8" s="437"/>
      <c r="AP8" s="437"/>
      <c r="AQ8" s="1082">
        <v>0</v>
      </c>
    </row>
    <row r="9" spans="1:43" ht="21" hidden="1" customHeight="1">
      <c r="A9" s="1290"/>
      <c r="B9" s="1290"/>
      <c r="C9" s="1290"/>
      <c r="D9" s="1290"/>
      <c r="E9" s="2897"/>
      <c r="F9" s="2897"/>
      <c r="G9" s="2897"/>
      <c r="H9" s="2897"/>
      <c r="I9" s="2899"/>
      <c r="J9" s="2898"/>
      <c r="K9" s="1290"/>
      <c r="L9" s="1291"/>
      <c r="P9" s="2900"/>
      <c r="Q9" s="2900"/>
      <c r="R9" s="293"/>
      <c r="S9" s="1205"/>
      <c r="T9" s="225" t="s">
        <v>532</v>
      </c>
      <c r="U9" s="304"/>
      <c r="V9" s="304"/>
      <c r="W9" s="304"/>
      <c r="X9" s="304"/>
      <c r="Y9" s="304"/>
      <c r="Z9" s="304"/>
      <c r="AA9" s="304"/>
      <c r="AB9" s="304"/>
      <c r="AC9" s="304"/>
      <c r="AD9" s="304"/>
      <c r="AE9" s="304"/>
      <c r="AF9" s="304"/>
      <c r="AG9" s="304"/>
      <c r="AH9" s="304"/>
      <c r="AI9" s="304"/>
      <c r="AJ9" s="304"/>
      <c r="AK9" s="1185" t="s">
        <v>533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97"/>
      <c r="F10" s="2897"/>
      <c r="G10" s="2897"/>
      <c r="H10" s="2897"/>
      <c r="I10" s="2898"/>
      <c r="J10" s="1290"/>
      <c r="K10" s="1290"/>
      <c r="L10" s="1291"/>
      <c r="P10" s="2900"/>
      <c r="Q10" s="1349"/>
      <c r="R10" s="293"/>
      <c r="S10" s="1205"/>
      <c r="T10" s="302" t="s">
        <v>457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14.25" hidden="1" customHeight="1">
      <c r="A11" s="1290"/>
      <c r="B11" s="1290"/>
      <c r="C11" s="1290"/>
      <c r="D11" s="1290"/>
      <c r="E11" s="2897"/>
      <c r="F11" s="2897"/>
      <c r="G11" s="2897"/>
      <c r="H11" s="2896"/>
      <c r="I11" s="1290"/>
      <c r="J11" s="1290"/>
      <c r="K11" s="1290"/>
      <c r="L11" s="1291"/>
      <c r="M11" s="1292"/>
      <c r="N11" s="1292"/>
      <c r="O11" s="474"/>
      <c r="P11" s="297"/>
      <c r="Q11" s="312"/>
      <c r="R11" s="292"/>
      <c r="S11" s="1205"/>
      <c r="T11" s="309" t="s">
        <v>534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97"/>
      <c r="F12" s="2896"/>
      <c r="G12" s="1241"/>
      <c r="H12" s="1241"/>
      <c r="I12" s="1241"/>
      <c r="J12" s="1241"/>
      <c r="K12" s="1241"/>
      <c r="L12" s="1353"/>
      <c r="M12" s="1248"/>
      <c r="N12" s="1248"/>
      <c r="P12" s="1243"/>
      <c r="Q12" s="1244"/>
      <c r="R12" s="1243"/>
      <c r="S12" s="1249"/>
      <c r="T12" s="1252" t="s">
        <v>176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96"/>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894"/>
      <c r="AG15" s="2893" t="s">
        <v>71</v>
      </c>
      <c r="AH15" s="2894"/>
      <c r="AI15" s="2893" t="s">
        <v>71</v>
      </c>
      <c r="AQ15" s="1082">
        <v>0</v>
      </c>
    </row>
    <row r="16" spans="1:43" ht="14.25" hidden="1" customHeight="1">
      <c r="AC16" s="1287"/>
      <c r="AD16" s="1287"/>
      <c r="AE16" s="266" t="str">
        <f>AF15&amp;"-"&amp;AH15</f>
        <v>-</v>
      </c>
      <c r="AF16" s="2893"/>
      <c r="AG16" s="2893"/>
      <c r="AH16" s="2893"/>
      <c r="AI16" s="2893"/>
      <c r="AQ16" s="1082">
        <v>0</v>
      </c>
    </row>
    <row r="17" spans="1:43" ht="14.25" hidden="1" customHeight="1">
      <c r="AI17" s="265"/>
      <c r="AQ17" s="1082">
        <v>0</v>
      </c>
    </row>
    <row r="18" spans="1:43" s="1293" customFormat="1" ht="22.5" hidden="1" customHeight="1">
      <c r="L18" s="1348"/>
      <c r="M18" s="1289"/>
      <c r="N18" s="1289"/>
      <c r="O18" s="1294" t="s">
        <v>459</v>
      </c>
      <c r="P18" s="1289"/>
      <c r="Q18" s="1298"/>
      <c r="R18" s="1298"/>
      <c r="S18" s="666"/>
      <c r="Y18" s="1294"/>
      <c r="AA18" s="1294"/>
      <c r="AF18" s="1294"/>
      <c r="AH18" s="1294"/>
      <c r="AL18" s="448"/>
      <c r="AM18" s="448"/>
      <c r="AN18" s="448"/>
      <c r="AO18" s="448"/>
      <c r="AP18" s="448"/>
      <c r="AQ18" s="1087">
        <v>0</v>
      </c>
    </row>
    <row r="19" spans="1:43" s="1293" customFormat="1" ht="14.25" hidden="1" customHeight="1">
      <c r="L19" s="1348"/>
      <c r="M19" s="1289"/>
      <c r="N19" s="1289"/>
      <c r="O19" s="1289"/>
      <c r="P19" s="1289"/>
      <c r="Q19" s="1298"/>
      <c r="R19" s="1298"/>
      <c r="S19" s="666"/>
      <c r="AL19" s="448"/>
      <c r="AM19" s="448"/>
      <c r="AN19" s="448"/>
      <c r="AO19" s="448"/>
      <c r="AP19" s="448"/>
      <c r="AQ19" s="1087">
        <v>0</v>
      </c>
    </row>
    <row r="20" spans="1:43" s="1293" customFormat="1" ht="12" hidden="1" customHeight="1">
      <c r="L20" s="1348"/>
      <c r="M20" s="1289"/>
      <c r="N20" s="1289"/>
      <c r="O20" s="1291" t="s">
        <v>460</v>
      </c>
      <c r="P20" s="1289"/>
      <c r="Q20" s="1369"/>
      <c r="R20" s="1369"/>
      <c r="S20" s="666"/>
      <c r="T20" s="1087" t="s">
        <v>461</v>
      </c>
      <c r="Z20" s="124" t="s">
        <v>462</v>
      </c>
      <c r="AB20" s="124" t="s">
        <v>463</v>
      </c>
      <c r="AC20" s="1087" t="s">
        <v>461</v>
      </c>
      <c r="AG20" s="124" t="s">
        <v>464</v>
      </c>
      <c r="AI20" s="124" t="s">
        <v>463</v>
      </c>
      <c r="AQ20" s="1087">
        <v>0</v>
      </c>
    </row>
    <row r="21" spans="1:43" ht="14.25" hidden="1" customHeight="1">
      <c r="O21" s="1291"/>
      <c r="AQ21" s="1082">
        <v>0</v>
      </c>
    </row>
    <row r="22" spans="1:43" ht="14.25" hidden="1" customHeight="1">
      <c r="O22" s="1291"/>
      <c r="AQ22" s="1082">
        <v>0</v>
      </c>
    </row>
    <row r="23" spans="1:43" ht="1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5" customHeight="1">
      <c r="Q24" s="313"/>
      <c r="R24" s="313"/>
      <c r="S24" s="28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77"/>
      <c r="U24" s="2877"/>
      <c r="V24" s="2877"/>
      <c r="W24" s="2877"/>
      <c r="X24" s="2877"/>
      <c r="Y24" s="2877"/>
      <c r="Z24" s="2877"/>
      <c r="AA24" s="2877"/>
      <c r="AB24" s="2877"/>
      <c r="AC24" s="2877"/>
      <c r="AD24" s="2877"/>
      <c r="AE24" s="2877"/>
      <c r="AF24" s="2877"/>
      <c r="AG24" s="2877"/>
      <c r="AH24" s="2877"/>
      <c r="AI24" s="1170"/>
      <c r="AQ24" s="1082">
        <v>14</v>
      </c>
    </row>
    <row r="25" spans="1:43" ht="15" customHeight="1">
      <c r="Q25" s="313"/>
      <c r="R25" s="313"/>
      <c r="S25" s="2849" t="str">
        <f>IF(org=0,"Не определено",org)</f>
        <v>ТМУП "ТТС"</v>
      </c>
      <c r="T25" s="2849"/>
      <c r="U25" s="2849"/>
      <c r="V25" s="2849"/>
      <c r="W25" s="2849"/>
      <c r="X25" s="2849"/>
      <c r="Y25" s="2849"/>
      <c r="Z25" s="2849"/>
      <c r="AA25" s="2849"/>
      <c r="AB25" s="2849"/>
      <c r="AC25" s="2849"/>
      <c r="AD25" s="2849"/>
      <c r="AE25" s="2849"/>
      <c r="AF25" s="2849"/>
      <c r="AG25" s="2849"/>
      <c r="AH25" s="284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887" t="s">
        <v>46</v>
      </c>
      <c r="T27" s="2887"/>
      <c r="U27" s="1299"/>
      <c r="V27" s="2889" t="str">
        <f>IF(TITLE_NAME_OR_PR_CHANGE="",IF(TITLE_NAME_OR_PR="","",TITLE_NAME_OR_PR),TITLE_NAME_OR_PR_CHANGE)</f>
        <v/>
      </c>
      <c r="W27" s="2889"/>
      <c r="X27" s="2889"/>
      <c r="Y27" s="2889"/>
      <c r="Z27" s="2889"/>
      <c r="AA27" s="2889"/>
      <c r="AB27" s="264"/>
      <c r="AC27" s="2889" t="str">
        <f>IF(TITLE_NAME_OR_PR_CHANGE="",IF(TITLE_NAME_OR_PR="","",TITLE_NAME_OR_PR),TITLE_NAME_OR_PR_CHANGE)</f>
        <v/>
      </c>
      <c r="AD27" s="2889"/>
      <c r="AE27" s="2889"/>
      <c r="AF27" s="2889"/>
      <c r="AG27" s="2889"/>
      <c r="AH27" s="288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887" t="s">
        <v>465</v>
      </c>
      <c r="T28" s="2887"/>
      <c r="U28" s="1299"/>
      <c r="V28" s="2888" t="str">
        <f>IF(TITLE_DATE_PR_CHANGE="",IF(TITLE_DATE_PR="","",TITLE_DATE_PR),TITLE_DATE_PR_CHANGE)</f>
        <v>14.11.2024</v>
      </c>
      <c r="W28" s="2888"/>
      <c r="X28" s="2888"/>
      <c r="Y28" s="2888"/>
      <c r="Z28" s="2888"/>
      <c r="AA28" s="2888"/>
      <c r="AB28" s="264"/>
      <c r="AC28" s="2888" t="str">
        <f>IF(TITLE_DATE_PR_CHANGE="",IF(TITLE_DATE_PR="","",TITLE_DATE_PR),TITLE_DATE_PR_CHANGE)</f>
        <v>14.11.2024</v>
      </c>
      <c r="AD28" s="2888"/>
      <c r="AE28" s="2888"/>
      <c r="AF28" s="2888"/>
      <c r="AG28" s="2888"/>
      <c r="AH28" s="288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887" t="s">
        <v>466</v>
      </c>
      <c r="T29" s="2887"/>
      <c r="U29" s="1299"/>
      <c r="V29" s="2889" t="str">
        <f>IF(TITLE_NUMBER_PR_CHANGE="",IF(TITLE_NUMBER_PR="","",TITLE_NUMBER_PR),TITLE_NUMBER_PR_CHANGE)</f>
        <v>947 от 12.11.2024</v>
      </c>
      <c r="W29" s="2889"/>
      <c r="X29" s="2889"/>
      <c r="Y29" s="2889"/>
      <c r="Z29" s="2889"/>
      <c r="AA29" s="2889"/>
      <c r="AB29" s="264"/>
      <c r="AC29" s="2889" t="str">
        <f>IF(TITLE_NUMBER_PR_CHANGE="",IF(TITLE_NUMBER_PR="","",TITLE_NUMBER_PR),TITLE_NUMBER_PR_CHANGE)</f>
        <v>947 от 12.11.2024</v>
      </c>
      <c r="AD29" s="2889"/>
      <c r="AE29" s="2889"/>
      <c r="AF29" s="2889"/>
      <c r="AG29" s="2889"/>
      <c r="AH29" s="288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887" t="s">
        <v>47</v>
      </c>
      <c r="T30" s="2887"/>
      <c r="U30" s="1299"/>
      <c r="V30" s="2889" t="str">
        <f>IF(TITLE_IST_PUB_CHANGE="",IF(TITLE_IST_PUB="","",TITLE_IST_PUB),TITLE_IST_PUB_CHANGE)</f>
        <v/>
      </c>
      <c r="W30" s="2889"/>
      <c r="X30" s="2889"/>
      <c r="Y30" s="2889"/>
      <c r="Z30" s="2889"/>
      <c r="AA30" s="2889"/>
      <c r="AB30" s="264"/>
      <c r="AC30" s="2889" t="str">
        <f>IF(TITLE_IST_PUB_CHANGE="",IF(TITLE_IST_PUB="","",TITLE_IST_PUB),TITLE_IST_PUB_CHANGE)</f>
        <v/>
      </c>
      <c r="AD30" s="2889"/>
      <c r="AE30" s="2889"/>
      <c r="AF30" s="2889"/>
      <c r="AG30" s="2889"/>
      <c r="AH30" s="2889"/>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887" t="s">
        <v>467</v>
      </c>
      <c r="T32" s="2887"/>
      <c r="U32" s="1299"/>
      <c r="V32" s="2888" t="str">
        <f>IF(TITLE_DATE_PR_CHANGE="",IF(TITLE_DATE_PR="","",TITLE_DATE_PR),TITLE_DATE_PR_CHANGE)</f>
        <v>14.11.2024</v>
      </c>
      <c r="W32" s="2888"/>
      <c r="X32" s="2888"/>
      <c r="Y32" s="2888"/>
      <c r="Z32" s="2888"/>
      <c r="AA32" s="2888"/>
      <c r="AB32" s="264"/>
      <c r="AC32" s="2888" t="str">
        <f>IF(TITLE_DATE_PR_CHANGE="",IF(TITLE_DATE_PR="","",TITLE_DATE_PR),TITLE_DATE_PR_CHANGE)</f>
        <v>14.11.2024</v>
      </c>
      <c r="AD32" s="2888"/>
      <c r="AE32" s="2888"/>
      <c r="AF32" s="2888"/>
      <c r="AG32" s="2888"/>
      <c r="AH32" s="2888"/>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887" t="s">
        <v>468</v>
      </c>
      <c r="T33" s="2887"/>
      <c r="U33" s="1299"/>
      <c r="V33" s="2889" t="str">
        <f>IF(TITLE_NUMBER_PR_CHANGE="",IF(TITLE_NUMBER_PR="","",TITLE_NUMBER_PR),TITLE_NUMBER_PR_CHANGE)</f>
        <v>947 от 12.11.2024</v>
      </c>
      <c r="W33" s="2889"/>
      <c r="X33" s="2889"/>
      <c r="Y33" s="2889"/>
      <c r="Z33" s="2889"/>
      <c r="AA33" s="2889"/>
      <c r="AB33" s="264"/>
      <c r="AC33" s="2889" t="str">
        <f>IF(TITLE_NUMBER_PR_CHANGE="",IF(TITLE_NUMBER_PR="","",TITLE_NUMBER_PR),TITLE_NUMBER_PR_CHANGE)</f>
        <v>947 от 12.11.2024</v>
      </c>
      <c r="AD33" s="2889"/>
      <c r="AE33" s="2889"/>
      <c r="AF33" s="2889"/>
      <c r="AG33" s="2889"/>
      <c r="AH33" s="2889"/>
      <c r="AI33" s="264"/>
      <c r="AJ33" s="264"/>
      <c r="AK33" s="218"/>
      <c r="AL33" s="305"/>
      <c r="AM33" s="305"/>
      <c r="AN33" s="305"/>
      <c r="AO33" s="305"/>
      <c r="AP33" s="305"/>
      <c r="AQ33" s="355">
        <v>0</v>
      </c>
    </row>
    <row r="34" spans="1:43" s="1778" customFormat="1" ht="0.75" customHeight="1">
      <c r="A34" s="1295"/>
      <c r="B34" s="1295"/>
      <c r="C34" s="1295"/>
      <c r="D34" s="1295"/>
      <c r="E34" s="1295"/>
      <c r="F34" s="1295"/>
      <c r="G34" s="1295"/>
      <c r="H34" s="1295"/>
      <c r="I34" s="1295"/>
      <c r="J34" s="1295"/>
      <c r="K34" s="1295"/>
      <c r="L34" s="1296"/>
      <c r="M34" s="1295"/>
      <c r="N34" s="1295"/>
      <c r="O34" s="1295"/>
      <c r="S34" s="261"/>
      <c r="T34" s="261"/>
      <c r="U34" s="1282"/>
      <c r="V34" s="264"/>
      <c r="W34" s="264"/>
      <c r="X34" s="264"/>
      <c r="Y34" s="264"/>
      <c r="Z34" s="264"/>
      <c r="AA34" s="264"/>
      <c r="AB34" s="216" t="s">
        <v>469</v>
      </c>
      <c r="AC34" s="264"/>
      <c r="AD34" s="264"/>
      <c r="AE34" s="264"/>
      <c r="AF34" s="264"/>
      <c r="AG34" s="264"/>
      <c r="AH34" s="264"/>
      <c r="AI34" s="216" t="s">
        <v>469</v>
      </c>
      <c r="AL34" s="305"/>
      <c r="AM34" s="305"/>
      <c r="AN34" s="305"/>
      <c r="AO34" s="305"/>
      <c r="AP34" s="305"/>
      <c r="AQ34" s="355">
        <v>1</v>
      </c>
    </row>
    <row r="35" spans="1:43" ht="15" customHeight="1">
      <c r="Q35" s="313"/>
      <c r="R35" s="313"/>
      <c r="S35" s="1202"/>
      <c r="T35" s="300"/>
      <c r="U35" s="1171"/>
      <c r="V35" s="2908"/>
      <c r="W35" s="2908"/>
      <c r="X35" s="2908"/>
      <c r="Y35" s="2908"/>
      <c r="Z35" s="2908"/>
      <c r="AA35" s="2908"/>
      <c r="AB35" s="2908"/>
      <c r="AC35" s="2908"/>
      <c r="AD35" s="2908"/>
      <c r="AE35" s="2908"/>
      <c r="AF35" s="2908"/>
      <c r="AG35" s="2908"/>
      <c r="AH35" s="2908"/>
      <c r="AI35" s="2908"/>
      <c r="AQ35" s="1082">
        <v>14</v>
      </c>
    </row>
    <row r="36" spans="1:43" ht="15" customHeight="1">
      <c r="Q36" s="313"/>
      <c r="R36" s="313"/>
      <c r="S36" s="2758" t="s">
        <v>345</v>
      </c>
      <c r="T36" s="2758"/>
      <c r="U36" s="2758"/>
      <c r="V36" s="2758"/>
      <c r="W36" s="2758"/>
      <c r="X36" s="2758"/>
      <c r="Y36" s="2758"/>
      <c r="Z36" s="2758"/>
      <c r="AA36" s="2758"/>
      <c r="AB36" s="2758"/>
      <c r="AC36" s="2758"/>
      <c r="AD36" s="2758"/>
      <c r="AE36" s="2758"/>
      <c r="AF36" s="2758"/>
      <c r="AG36" s="2758"/>
      <c r="AH36" s="2758"/>
      <c r="AI36" s="2758"/>
      <c r="AJ36" s="2758"/>
      <c r="AK36" s="2758" t="s">
        <v>346</v>
      </c>
      <c r="AQ36" s="1082">
        <v>14</v>
      </c>
    </row>
    <row r="37" spans="1:43" ht="15" customHeight="1">
      <c r="Q37" s="313"/>
      <c r="R37" s="313"/>
      <c r="S37" s="2909" t="s">
        <v>93</v>
      </c>
      <c r="T37" s="2857" t="s">
        <v>470</v>
      </c>
      <c r="U37" s="239"/>
      <c r="V37" s="2910" t="s">
        <v>471</v>
      </c>
      <c r="W37" s="2911"/>
      <c r="X37" s="2911"/>
      <c r="Y37" s="2911"/>
      <c r="Z37" s="2911"/>
      <c r="AA37" s="2912"/>
      <c r="AB37" s="2913" t="s">
        <v>472</v>
      </c>
      <c r="AC37" s="2910" t="s">
        <v>471</v>
      </c>
      <c r="AD37" s="2911"/>
      <c r="AE37" s="2911"/>
      <c r="AF37" s="2911"/>
      <c r="AG37" s="2911"/>
      <c r="AH37" s="2912"/>
      <c r="AI37" s="2913" t="s">
        <v>473</v>
      </c>
      <c r="AJ37" s="2916" t="s">
        <v>474</v>
      </c>
      <c r="AK37" s="2758"/>
      <c r="AQ37" s="1082">
        <v>14</v>
      </c>
    </row>
    <row r="38" spans="1:43" ht="36" customHeight="1">
      <c r="Q38" s="313"/>
      <c r="R38" s="313"/>
      <c r="S38" s="2909"/>
      <c r="T38" s="2857"/>
      <c r="U38" s="961"/>
      <c r="V38" s="1279" t="s">
        <v>535</v>
      </c>
      <c r="W38" s="2740" t="s">
        <v>477</v>
      </c>
      <c r="X38" s="2739"/>
      <c r="Y38" s="2740" t="s">
        <v>478</v>
      </c>
      <c r="Z38" s="2745"/>
      <c r="AA38" s="2739"/>
      <c r="AB38" s="2914"/>
      <c r="AC38" s="1279" t="s">
        <v>535</v>
      </c>
      <c r="AD38" s="2740" t="s">
        <v>477</v>
      </c>
      <c r="AE38" s="2739"/>
      <c r="AF38" s="2740" t="s">
        <v>478</v>
      </c>
      <c r="AG38" s="2745"/>
      <c r="AH38" s="2739"/>
      <c r="AI38" s="2914"/>
      <c r="AJ38" s="2917"/>
      <c r="AK38" s="2758"/>
      <c r="AQ38" s="1082">
        <v>34</v>
      </c>
    </row>
    <row r="39" spans="1:43" ht="36" customHeight="1">
      <c r="A39" s="1297"/>
      <c r="B39" s="1297" t="s">
        <v>140</v>
      </c>
      <c r="C39" s="1297" t="s">
        <v>141</v>
      </c>
      <c r="D39" s="1297" t="s">
        <v>142</v>
      </c>
      <c r="E39" s="1291" t="s">
        <v>479</v>
      </c>
      <c r="F39" s="1291" t="s">
        <v>480</v>
      </c>
      <c r="G39" s="1291" t="s">
        <v>481</v>
      </c>
      <c r="H39" s="1291"/>
      <c r="I39" s="1291" t="s">
        <v>536</v>
      </c>
      <c r="J39" s="1291" t="s">
        <v>484</v>
      </c>
      <c r="K39" s="1291" t="s">
        <v>537</v>
      </c>
      <c r="L39" s="1291" t="s">
        <v>460</v>
      </c>
      <c r="Q39" s="313"/>
      <c r="R39" s="313"/>
      <c r="S39" s="2909"/>
      <c r="T39" s="2857"/>
      <c r="U39" s="240"/>
      <c r="V39" s="1279" t="s">
        <v>538</v>
      </c>
      <c r="W39" s="1149" t="s">
        <v>539</v>
      </c>
      <c r="X39" s="1149" t="s">
        <v>540</v>
      </c>
      <c r="Y39" s="1284" t="s">
        <v>488</v>
      </c>
      <c r="Z39" s="2862" t="s">
        <v>489</v>
      </c>
      <c r="AA39" s="2876"/>
      <c r="AB39" s="2915"/>
      <c r="AC39" s="1279" t="s">
        <v>538</v>
      </c>
      <c r="AD39" s="1149" t="s">
        <v>539</v>
      </c>
      <c r="AE39" s="1149" t="s">
        <v>540</v>
      </c>
      <c r="AF39" s="1284" t="s">
        <v>488</v>
      </c>
      <c r="AG39" s="2862" t="s">
        <v>489</v>
      </c>
      <c r="AH39" s="2876"/>
      <c r="AI39" s="2915"/>
      <c r="AJ39" s="2918"/>
      <c r="AK39" s="2758"/>
      <c r="AQ39" s="1082">
        <v>34</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114</v>
      </c>
      <c r="T40" s="1182" t="s">
        <v>115</v>
      </c>
      <c r="U40" s="1172" t="str">
        <f ca="1">OFFSET(U40,0,-1)</f>
        <v>2</v>
      </c>
      <c r="V40" s="1280">
        <f ca="1">OFFSET(V40,0,-1)+1</f>
        <v>3</v>
      </c>
      <c r="W40" s="1280">
        <f ca="1">OFFSET(W40,0,-1)+1</f>
        <v>4</v>
      </c>
      <c r="X40" s="1280">
        <f ca="1">OFFSET(X40,0,-1)+1</f>
        <v>5</v>
      </c>
      <c r="Y40" s="1280">
        <f ca="1">OFFSET(Y40,0,-1)+1</f>
        <v>6</v>
      </c>
      <c r="Z40" s="2907">
        <f ca="1">OFFSET(Z40,0,-1)+1</f>
        <v>7</v>
      </c>
      <c r="AA40" s="2907"/>
      <c r="AB40" s="1280">
        <f ca="1">OFFSET(AB40,0,-2)+1</f>
        <v>8</v>
      </c>
      <c r="AC40" s="1280">
        <f ca="1">OFFSET(AC40,0,-1)+1</f>
        <v>9</v>
      </c>
      <c r="AD40" s="1280">
        <f ca="1">OFFSET(AD40,0,-1)+1</f>
        <v>10</v>
      </c>
      <c r="AE40" s="1280">
        <f ca="1">OFFSET(AE40,0,-1)+1</f>
        <v>11</v>
      </c>
      <c r="AF40" s="1280">
        <f ca="1">OFFSET(AF40,0,-1)+1</f>
        <v>12</v>
      </c>
      <c r="AG40" s="2907">
        <f ca="1">OFFSET(AG40,0,-1)+1</f>
        <v>13</v>
      </c>
      <c r="AH40" s="2907"/>
      <c r="AI40" s="1280">
        <f ca="1">OFFSET(AI40,0,-2)+1</f>
        <v>14</v>
      </c>
      <c r="AJ40" s="1172">
        <f ca="1">OFFSET(AJ40,0,-1)</f>
        <v>14</v>
      </c>
      <c r="AK40" s="1280">
        <f ca="1">OFFSET(AK40,0,-1)+1</f>
        <v>15</v>
      </c>
      <c r="AL40" s="448"/>
      <c r="AM40" s="448"/>
      <c r="AN40" s="448"/>
      <c r="AO40" s="448"/>
      <c r="AP40" s="448"/>
      <c r="AQ40" s="433">
        <v>0</v>
      </c>
    </row>
    <row r="41" spans="1:43" ht="24" customHeight="1">
      <c r="A41" s="1290" t="s">
        <v>271</v>
      </c>
      <c r="B41" s="1290"/>
      <c r="C41" s="1290"/>
      <c r="D41" s="1290"/>
      <c r="E41" s="2896">
        <v>1</v>
      </c>
      <c r="F41" s="1290"/>
      <c r="G41" s="1290"/>
      <c r="H41" s="1290"/>
      <c r="I41" s="1290"/>
      <c r="J41" s="1290"/>
      <c r="K41" s="1290"/>
      <c r="L41" s="1291"/>
      <c r="M41" s="1292"/>
      <c r="N41" s="1292"/>
      <c r="O41" s="1292"/>
      <c r="P41" s="298"/>
      <c r="Q41" s="297"/>
      <c r="R41" s="292"/>
      <c r="S41" s="1285">
        <f>INDEX(PT_DIFFERENTIATION_NUM_NTAR,MATCH(A41,PT_DIFFERENTIATION_NTAR_ID,0))</f>
        <v>0</v>
      </c>
      <c r="T41" s="236" t="s">
        <v>128</v>
      </c>
      <c r="U41" s="238"/>
      <c r="V41" s="2890"/>
      <c r="W41" s="2891"/>
      <c r="X41" s="2891"/>
      <c r="Y41" s="2891"/>
      <c r="Z41" s="2891"/>
      <c r="AA41" s="2891"/>
      <c r="AB41" s="2892"/>
      <c r="AC41" s="2890" t="str">
        <f>INDEX(PT_DIFFERENTIATION_NTAR,MATCH(A41,PT_DIFFERENTIATION_NTAR_ID,0))</f>
        <v/>
      </c>
      <c r="AD41" s="2891"/>
      <c r="AE41" s="2891"/>
      <c r="AF41" s="2891"/>
      <c r="AG41" s="2891"/>
      <c r="AH41" s="2891"/>
      <c r="AI41" s="2891"/>
      <c r="AJ41" s="289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271</v>
      </c>
      <c r="B42" s="1290" t="s">
        <v>272</v>
      </c>
      <c r="C42" s="1290"/>
      <c r="D42" s="1290"/>
      <c r="E42" s="2897"/>
      <c r="F42" s="2896">
        <v>1</v>
      </c>
      <c r="G42" s="1290"/>
      <c r="H42" s="1290"/>
      <c r="I42" s="1290"/>
      <c r="J42" s="1290"/>
      <c r="K42" s="1290"/>
      <c r="L42" s="1291"/>
      <c r="M42" s="1292"/>
      <c r="N42" s="1292"/>
      <c r="O42" s="1292"/>
      <c r="P42" s="1283"/>
      <c r="Q42" s="289"/>
      <c r="R42" s="290"/>
      <c r="S42" s="1285" t="str">
        <f>INDEX(PT_DIFFERENTIATION_NUM_TER,MATCH(B42,PT_DIFFERENTIATION_TER_ID,0))</f>
        <v>.</v>
      </c>
      <c r="T42" s="246" t="s">
        <v>442</v>
      </c>
      <c r="U42" s="238"/>
      <c r="V42" s="2890"/>
      <c r="W42" s="2891"/>
      <c r="X42" s="2891"/>
      <c r="Y42" s="2891"/>
      <c r="Z42" s="2891"/>
      <c r="AA42" s="2891"/>
      <c r="AB42" s="2892"/>
      <c r="AC42" s="2890" t="str">
        <f>INDEX(PT_DIFFERENTIATION_TER,MATCH(B42,PT_DIFFERENTIATION_TER_ID,0))</f>
        <v/>
      </c>
      <c r="AD42" s="2891"/>
      <c r="AE42" s="2891"/>
      <c r="AF42" s="2891"/>
      <c r="AG42" s="2891"/>
      <c r="AH42" s="2891"/>
      <c r="AI42" s="2891"/>
      <c r="AJ42" s="2892"/>
      <c r="AK42" s="1185" t="s">
        <v>443</v>
      </c>
      <c r="AM42" s="437"/>
      <c r="AN42" s="437" t="str">
        <f t="shared" si="1"/>
        <v>Территория действия тарифа</v>
      </c>
      <c r="AO42" s="437"/>
      <c r="AP42" s="437"/>
      <c r="AQ42" s="1082">
        <v>23</v>
      </c>
    </row>
    <row r="43" spans="1:43" ht="24" customHeight="1">
      <c r="A43" s="1290" t="s">
        <v>271</v>
      </c>
      <c r="B43" s="1290" t="s">
        <v>272</v>
      </c>
      <c r="C43" s="1290" t="s">
        <v>273</v>
      </c>
      <c r="D43" s="1290"/>
      <c r="E43" s="2897"/>
      <c r="F43" s="2897"/>
      <c r="G43" s="2896">
        <v>1</v>
      </c>
      <c r="H43" s="1290"/>
      <c r="I43" s="1290"/>
      <c r="J43" s="1290"/>
      <c r="K43" s="1290"/>
      <c r="L43" s="1291"/>
      <c r="M43" s="1292"/>
      <c r="N43" s="1292"/>
      <c r="O43" s="1292"/>
      <c r="P43" s="291"/>
      <c r="Q43" s="289"/>
      <c r="R43" s="290"/>
      <c r="S43" s="1285" t="str">
        <f>INDEX(PT_DIFFERENTIATION_NUM_CS,MATCH(C43,PT_DIFFERENTIATION_CS_ID,0))</f>
        <v>..</v>
      </c>
      <c r="T43" s="247" t="s">
        <v>527</v>
      </c>
      <c r="U43" s="238"/>
      <c r="V43" s="2890"/>
      <c r="W43" s="2891"/>
      <c r="X43" s="2891"/>
      <c r="Y43" s="2891"/>
      <c r="Z43" s="2891"/>
      <c r="AA43" s="2891"/>
      <c r="AB43" s="2892"/>
      <c r="AC43" s="2890" t="str">
        <f>INDEX(PT_DIFFERENTIATION_CS,MATCH(C43,PT_DIFFERENTIATION_CS_ID,0))</f>
        <v/>
      </c>
      <c r="AD43" s="2891"/>
      <c r="AE43" s="2891"/>
      <c r="AF43" s="2891"/>
      <c r="AG43" s="2891"/>
      <c r="AH43" s="2891"/>
      <c r="AI43" s="2891"/>
      <c r="AJ43" s="2892"/>
      <c r="AK43" s="1185" t="s">
        <v>528</v>
      </c>
      <c r="AM43" s="437"/>
      <c r="AN43" s="437" t="str">
        <f t="shared" si="1"/>
        <v>Наименование централизованной системы холодного водоснабжения</v>
      </c>
      <c r="AO43" s="437"/>
      <c r="AP43" s="437"/>
      <c r="AQ43" s="1082">
        <v>23</v>
      </c>
    </row>
    <row r="44" spans="1:43" ht="24" customHeight="1">
      <c r="A44" s="1290" t="s">
        <v>271</v>
      </c>
      <c r="B44" s="1290" t="s">
        <v>272</v>
      </c>
      <c r="C44" s="1290" t="s">
        <v>273</v>
      </c>
      <c r="D44" s="1290" t="s">
        <v>541</v>
      </c>
      <c r="E44" s="2897"/>
      <c r="F44" s="2897"/>
      <c r="G44" s="2897"/>
      <c r="H44" s="2897"/>
      <c r="I44" s="2898" t="str">
        <f>S43&amp;".1"</f>
        <v>...1</v>
      </c>
      <c r="J44" s="1290"/>
      <c r="K44" s="1290"/>
      <c r="L44" s="1291"/>
      <c r="P44" s="2900">
        <v>1</v>
      </c>
      <c r="Q44" s="1281"/>
      <c r="R44" s="293"/>
      <c r="S44" s="1285" t="str">
        <f>$I44</f>
        <v>...1</v>
      </c>
      <c r="T44" s="223" t="s">
        <v>529</v>
      </c>
      <c r="U44" s="238"/>
      <c r="V44" s="2965"/>
      <c r="W44" s="2966"/>
      <c r="X44" s="2966"/>
      <c r="Y44" s="2966"/>
      <c r="Z44" s="2966"/>
      <c r="AA44" s="2966"/>
      <c r="AB44" s="2967"/>
      <c r="AC44" s="2968"/>
      <c r="AD44" s="2969"/>
      <c r="AE44" s="2969"/>
      <c r="AF44" s="2969"/>
      <c r="AG44" s="2969"/>
      <c r="AH44" s="2969"/>
      <c r="AI44" s="2969"/>
      <c r="AJ44" s="2970"/>
      <c r="AK44" s="1185" t="s">
        <v>530</v>
      </c>
      <c r="AM44" s="437"/>
      <c r="AN44" s="437" t="str">
        <f t="shared" si="1"/>
        <v>Наименование признака дифференциации</v>
      </c>
      <c r="AO44" s="437"/>
      <c r="AP44" s="437"/>
      <c r="AQ44" s="1082">
        <v>23</v>
      </c>
    </row>
    <row r="45" spans="1:43" ht="24" customHeight="1">
      <c r="A45" s="1290" t="s">
        <v>271</v>
      </c>
      <c r="B45" s="1290" t="s">
        <v>272</v>
      </c>
      <c r="C45" s="1290" t="s">
        <v>273</v>
      </c>
      <c r="D45" s="1290" t="s">
        <v>541</v>
      </c>
      <c r="E45" s="2897"/>
      <c r="F45" s="2897"/>
      <c r="G45" s="2897"/>
      <c r="H45" s="2897"/>
      <c r="I45" s="2899"/>
      <c r="J45" s="2898" t="str">
        <f>I44&amp;".1"</f>
        <v>...1.1</v>
      </c>
      <c r="K45" s="1290"/>
      <c r="L45" s="1291" t="s">
        <v>451</v>
      </c>
      <c r="P45" s="2900"/>
      <c r="Q45" s="2900">
        <v>1</v>
      </c>
      <c r="R45" s="294"/>
      <c r="S45" s="1285" t="str">
        <f>$J45</f>
        <v>...1.1</v>
      </c>
      <c r="T45" s="224" t="s">
        <v>452</v>
      </c>
      <c r="U45" s="238"/>
      <c r="V45" s="2884"/>
      <c r="W45" s="2885"/>
      <c r="X45" s="2885"/>
      <c r="Y45" s="2885"/>
      <c r="Z45" s="2885"/>
      <c r="AA45" s="2885"/>
      <c r="AB45" s="2886"/>
      <c r="AC45" s="2884"/>
      <c r="AD45" s="2885"/>
      <c r="AE45" s="2885"/>
      <c r="AF45" s="2885"/>
      <c r="AG45" s="2885"/>
      <c r="AH45" s="2885"/>
      <c r="AI45" s="2885"/>
      <c r="AJ45" s="2886"/>
      <c r="AK45" s="1234" t="s">
        <v>531</v>
      </c>
      <c r="AM45" s="437"/>
      <c r="AN45" s="437" t="str">
        <f t="shared" si="1"/>
        <v>Группа потребителей</v>
      </c>
      <c r="AO45" s="437"/>
      <c r="AP45" s="437"/>
      <c r="AQ45" s="1082">
        <v>23</v>
      </c>
    </row>
    <row r="46" spans="1:43" ht="24" customHeight="1">
      <c r="A46" s="1290" t="s">
        <v>271</v>
      </c>
      <c r="B46" s="1290" t="s">
        <v>272</v>
      </c>
      <c r="C46" s="1290" t="s">
        <v>273</v>
      </c>
      <c r="D46" s="1290" t="s">
        <v>541</v>
      </c>
      <c r="E46" s="2897"/>
      <c r="F46" s="2897"/>
      <c r="G46" s="2897"/>
      <c r="H46" s="2897"/>
      <c r="I46" s="2899"/>
      <c r="J46" s="2899"/>
      <c r="K46" s="2898" t="str">
        <f>J45&amp;".1"</f>
        <v>...1.1.1</v>
      </c>
      <c r="L46" s="1291"/>
      <c r="P46" s="2900"/>
      <c r="Q46" s="2900"/>
      <c r="R46" s="294">
        <v>1</v>
      </c>
      <c r="S46" s="1285" t="str">
        <f>$K46</f>
        <v>...1.1.1</v>
      </c>
      <c r="T46" s="1364"/>
      <c r="U46" s="238"/>
      <c r="V46" s="1287"/>
      <c r="W46" s="1287"/>
      <c r="X46" s="1288"/>
      <c r="Y46" s="2894"/>
      <c r="Z46" s="2893" t="s">
        <v>71</v>
      </c>
      <c r="AA46" s="2894"/>
      <c r="AB46" s="2893" t="s">
        <v>71</v>
      </c>
      <c r="AC46" s="688"/>
      <c r="AD46" s="688"/>
      <c r="AE46" s="1184"/>
      <c r="AF46" s="2901"/>
      <c r="AG46" s="2768" t="s">
        <v>71</v>
      </c>
      <c r="AH46" s="2903"/>
      <c r="AI46" s="2768" t="s">
        <v>19</v>
      </c>
      <c r="AJ46" s="1365"/>
      <c r="AK46" s="29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271</v>
      </c>
      <c r="B47" s="1290" t="s">
        <v>272</v>
      </c>
      <c r="C47" s="1290" t="s">
        <v>273</v>
      </c>
      <c r="D47" s="1290" t="s">
        <v>541</v>
      </c>
      <c r="E47" s="2897"/>
      <c r="F47" s="2897"/>
      <c r="G47" s="2897"/>
      <c r="H47" s="2897"/>
      <c r="I47" s="2899"/>
      <c r="J47" s="2899"/>
      <c r="K47" s="2898"/>
      <c r="L47" s="1291"/>
      <c r="P47" s="2900"/>
      <c r="Q47" s="2900"/>
      <c r="R47" s="294"/>
      <c r="S47" s="1286"/>
      <c r="T47" s="238"/>
      <c r="U47" s="238"/>
      <c r="V47" s="1287"/>
      <c r="W47" s="1287"/>
      <c r="X47" s="266" t="str">
        <f>Y46&amp;"-"&amp;AA46</f>
        <v>-</v>
      </c>
      <c r="Y47" s="2893"/>
      <c r="Z47" s="2893"/>
      <c r="AA47" s="2893"/>
      <c r="AB47" s="2893"/>
      <c r="AC47" s="263"/>
      <c r="AD47" s="263"/>
      <c r="AE47" s="266" t="str">
        <f>AF46&amp;"-"&amp;AH46</f>
        <v>-</v>
      </c>
      <c r="AF47" s="2902"/>
      <c r="AG47" s="2768"/>
      <c r="AH47" s="2904"/>
      <c r="AI47" s="2768"/>
      <c r="AJ47" s="1366"/>
      <c r="AK47" s="2971"/>
      <c r="AM47" s="437"/>
      <c r="AN47" s="437" t="str">
        <f t="shared" si="1"/>
        <v/>
      </c>
      <c r="AO47" s="437"/>
      <c r="AP47" s="437"/>
      <c r="AQ47" s="1082">
        <v>0</v>
      </c>
    </row>
    <row r="48" spans="1:43" ht="21" customHeight="1">
      <c r="A48" s="1290" t="s">
        <v>271</v>
      </c>
      <c r="B48" s="1290" t="s">
        <v>272</v>
      </c>
      <c r="C48" s="1290" t="s">
        <v>273</v>
      </c>
      <c r="D48" s="1290" t="s">
        <v>541</v>
      </c>
      <c r="E48" s="2897"/>
      <c r="F48" s="2897"/>
      <c r="G48" s="2897"/>
      <c r="H48" s="2897"/>
      <c r="I48" s="2899"/>
      <c r="J48" s="2898"/>
      <c r="K48" s="1290"/>
      <c r="L48" s="1291"/>
      <c r="P48" s="2900"/>
      <c r="Q48" s="2900"/>
      <c r="R48" s="293"/>
      <c r="S48" s="1205"/>
      <c r="T48" s="225" t="s">
        <v>532</v>
      </c>
      <c r="U48" s="304"/>
      <c r="V48" s="304"/>
      <c r="W48" s="304"/>
      <c r="X48" s="304"/>
      <c r="Y48" s="304"/>
      <c r="Z48" s="304"/>
      <c r="AA48" s="304"/>
      <c r="AB48" s="304"/>
      <c r="AC48" s="304"/>
      <c r="AD48" s="304"/>
      <c r="AE48" s="304"/>
      <c r="AF48" s="304"/>
      <c r="AG48" s="304"/>
      <c r="AH48" s="304"/>
      <c r="AI48" s="304"/>
      <c r="AJ48" s="304"/>
      <c r="AK48" s="1185" t="s">
        <v>533</v>
      </c>
      <c r="AM48" s="437"/>
      <c r="AN48" s="437" t="str">
        <f t="shared" si="1"/>
        <v>Добавить значение признака дифференциации</v>
      </c>
      <c r="AO48" s="437"/>
      <c r="AP48" s="437"/>
      <c r="AQ48" s="1082">
        <v>20</v>
      </c>
    </row>
    <row r="49" spans="1:43" ht="21.75" customHeight="1">
      <c r="A49" s="1290" t="s">
        <v>271</v>
      </c>
      <c r="B49" s="1290" t="s">
        <v>272</v>
      </c>
      <c r="C49" s="1290" t="s">
        <v>273</v>
      </c>
      <c r="D49" s="1290" t="s">
        <v>541</v>
      </c>
      <c r="E49" s="2897"/>
      <c r="F49" s="2897"/>
      <c r="G49" s="2897"/>
      <c r="H49" s="2897"/>
      <c r="I49" s="2898"/>
      <c r="J49" s="1290"/>
      <c r="K49" s="1290"/>
      <c r="L49" s="1291"/>
      <c r="P49" s="2900"/>
      <c r="Q49" s="1281"/>
      <c r="R49" s="293"/>
      <c r="S49" s="1205"/>
      <c r="T49" s="302" t="s">
        <v>457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75" customHeight="1">
      <c r="A50" s="1290" t="s">
        <v>271</v>
      </c>
      <c r="B50" s="1290" t="s">
        <v>272</v>
      </c>
      <c r="C50" s="1290" t="s">
        <v>273</v>
      </c>
      <c r="D50" s="1290" t="s">
        <v>541</v>
      </c>
      <c r="E50" s="2897"/>
      <c r="F50" s="2897"/>
      <c r="G50" s="2897"/>
      <c r="H50" s="2896"/>
      <c r="I50" s="1290"/>
      <c r="J50" s="1290"/>
      <c r="K50" s="1290"/>
      <c r="L50" s="1291"/>
      <c r="M50" s="1292"/>
      <c r="N50" s="1292"/>
      <c r="O50" s="474"/>
      <c r="P50" s="297"/>
      <c r="Q50" s="312"/>
      <c r="R50" s="292"/>
      <c r="S50" s="1205"/>
      <c r="T50" s="309" t="s">
        <v>534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271</v>
      </c>
      <c r="B51" s="1270" t="s">
        <v>272</v>
      </c>
      <c r="C51" s="1241"/>
      <c r="D51" s="1241"/>
      <c r="E51" s="2897"/>
      <c r="F51" s="2896"/>
      <c r="G51" s="1241"/>
      <c r="H51" s="1241"/>
      <c r="I51" s="1241"/>
      <c r="J51" s="1241"/>
      <c r="K51" s="1241"/>
      <c r="L51" s="1353"/>
      <c r="M51" s="1248"/>
      <c r="N51" s="1248"/>
      <c r="P51" s="1243"/>
      <c r="Q51" s="1244"/>
      <c r="R51" s="1243"/>
      <c r="S51" s="1249"/>
      <c r="T51" s="1252" t="s">
        <v>176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271</v>
      </c>
      <c r="B52" s="1270"/>
      <c r="C52" s="1270"/>
      <c r="D52" s="1270"/>
      <c r="E52" s="2896"/>
      <c r="F52" s="1270"/>
      <c r="G52" s="1270"/>
      <c r="H52" s="1270"/>
      <c r="I52" s="1270"/>
      <c r="J52" s="1270"/>
      <c r="K52" s="1270"/>
      <c r="L52" s="1273"/>
      <c r="M52" s="1248"/>
      <c r="N52" s="1248"/>
      <c r="O52" s="455"/>
      <c r="P52" s="317"/>
      <c r="Q52" s="1271"/>
      <c r="R52" s="317"/>
      <c r="S52" s="1249"/>
      <c r="T52" s="1252" t="s">
        <v>178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53"/>
      <c r="M53" s="1248"/>
      <c r="N53" s="1248"/>
      <c r="P53" s="1243"/>
      <c r="Q53" s="1244"/>
      <c r="R53" s="1243"/>
      <c r="S53" s="1249"/>
      <c r="T53" s="1252" t="s">
        <v>212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25" customHeight="1">
      <c r="M54" s="1087"/>
      <c r="N54" s="1087"/>
      <c r="O54" s="474"/>
      <c r="P54" s="1082"/>
      <c r="Q54" s="1082"/>
      <c r="R54" s="1082"/>
      <c r="S54" s="1082"/>
      <c r="AL54" s="1082"/>
      <c r="AM54" s="1082"/>
      <c r="AN54" s="1082"/>
      <c r="AO54" s="1082"/>
      <c r="AP54" s="1082"/>
      <c r="AQ54" s="1082">
        <v>11</v>
      </c>
    </row>
    <row r="55" spans="1:43" ht="15" customHeight="1">
      <c r="O55" s="474"/>
      <c r="S55" s="1180"/>
      <c r="T55" s="2895"/>
      <c r="U55" s="2895"/>
      <c r="V55" s="2895"/>
      <c r="W55" s="2895"/>
      <c r="X55" s="2895"/>
      <c r="Y55" s="2895"/>
      <c r="Z55" s="2895"/>
      <c r="AA55" s="2895"/>
      <c r="AB55" s="2895"/>
      <c r="AC55" s="2895"/>
      <c r="AD55" s="2895"/>
      <c r="AE55" s="2895"/>
      <c r="AF55" s="2895"/>
      <c r="AG55" s="2895"/>
      <c r="AH55" s="2895"/>
      <c r="AI55" s="2895"/>
      <c r="AJ55" s="2895"/>
      <c r="AK55" s="2895"/>
      <c r="AQ55" s="1082">
        <v>14</v>
      </c>
    </row>
    <row r="56" spans="1:43" ht="15" customHeight="1">
      <c r="O56" s="474"/>
      <c r="AQ56" s="1082">
        <v>14</v>
      </c>
    </row>
    <row r="57" spans="1:43" ht="15" customHeight="1">
      <c r="O57" s="474"/>
      <c r="S57" s="1180"/>
      <c r="T57" s="2895"/>
      <c r="U57" s="2895"/>
      <c r="V57" s="2895"/>
      <c r="W57" s="2895"/>
      <c r="X57" s="2895"/>
      <c r="Y57" s="2895"/>
      <c r="Z57" s="2895"/>
      <c r="AA57" s="2895"/>
      <c r="AB57" s="2895"/>
      <c r="AC57" s="2895"/>
      <c r="AD57" s="2895"/>
      <c r="AE57" s="2895"/>
      <c r="AF57" s="2895"/>
      <c r="AG57" s="2895"/>
      <c r="AH57" s="2895"/>
      <c r="AI57" s="2895"/>
      <c r="AJ57" s="2895"/>
      <c r="AK57" s="2895"/>
      <c r="AQ57" s="1082">
        <v>14</v>
      </c>
    </row>
    <row r="58" spans="1:43" ht="22.5" hidden="1" customHeight="1">
      <c r="A58" s="1087" t="s">
        <v>87</v>
      </c>
      <c r="B58" s="1087">
        <v>0</v>
      </c>
      <c r="C58" s="1087">
        <v>0</v>
      </c>
      <c r="D58" s="1087">
        <v>0</v>
      </c>
      <c r="E58" s="1087">
        <v>0</v>
      </c>
      <c r="F58" s="1087">
        <v>0</v>
      </c>
      <c r="G58" s="1087">
        <v>0</v>
      </c>
      <c r="H58" s="1087">
        <v>0</v>
      </c>
      <c r="I58" s="1087">
        <v>0</v>
      </c>
      <c r="J58" s="1087">
        <v>0</v>
      </c>
      <c r="K58" s="1087">
        <v>0</v>
      </c>
      <c r="L58" s="1348">
        <v>0</v>
      </c>
      <c r="M58" s="1289">
        <v>0</v>
      </c>
      <c r="N58" s="1289">
        <v>0</v>
      </c>
      <c r="O58" s="1289">
        <v>0</v>
      </c>
      <c r="P58" s="1278">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Q45:Q48"/>
    <mergeCell ref="V45:AB45"/>
    <mergeCell ref="AC45:AJ45"/>
    <mergeCell ref="Z46:Z47"/>
    <mergeCell ref="AA46:AA47"/>
    <mergeCell ref="AB46:AB47"/>
    <mergeCell ref="AF46:AF47"/>
    <mergeCell ref="AG46:AG47"/>
    <mergeCell ref="AK46:AK47"/>
    <mergeCell ref="AH46:AH47"/>
    <mergeCell ref="AI46:AI47"/>
    <mergeCell ref="E41:E52"/>
    <mergeCell ref="V41:AB41"/>
    <mergeCell ref="AC41:AJ41"/>
    <mergeCell ref="F42:F51"/>
    <mergeCell ref="V42:AB42"/>
    <mergeCell ref="AC42:AJ42"/>
    <mergeCell ref="G43:G50"/>
    <mergeCell ref="Y38:AA38"/>
    <mergeCell ref="AD38:AE38"/>
    <mergeCell ref="AF38:AH38"/>
    <mergeCell ref="Z39:AA39"/>
    <mergeCell ref="H44:H50"/>
    <mergeCell ref="I44:I49"/>
    <mergeCell ref="P44:P49"/>
    <mergeCell ref="V44:AB44"/>
    <mergeCell ref="AC44:AJ44"/>
    <mergeCell ref="J45:J48"/>
    <mergeCell ref="AG39:AH39"/>
    <mergeCell ref="Z40:AA40"/>
    <mergeCell ref="AG40:AH40"/>
    <mergeCell ref="K46:K47"/>
    <mergeCell ref="Y46:Y47"/>
    <mergeCell ref="V43:AB43"/>
    <mergeCell ref="AC43:AJ43"/>
    <mergeCell ref="AC29:AH29"/>
    <mergeCell ref="S30:T30"/>
    <mergeCell ref="V30:AA30"/>
    <mergeCell ref="AC30:AH30"/>
    <mergeCell ref="V35:AB35"/>
    <mergeCell ref="AC35:AI35"/>
    <mergeCell ref="S36:AJ36"/>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S29:T29"/>
    <mergeCell ref="V29:AA29"/>
    <mergeCell ref="AJ37:AJ39"/>
    <mergeCell ref="W38:X38"/>
    <mergeCell ref="AK7:AK8"/>
    <mergeCell ref="S24:AH24"/>
    <mergeCell ref="S25:AH25"/>
    <mergeCell ref="S27:T27"/>
    <mergeCell ref="V27:AA27"/>
    <mergeCell ref="AC27:AH27"/>
    <mergeCell ref="S28:T28"/>
    <mergeCell ref="V28:AA28"/>
    <mergeCell ref="AC28:AH28"/>
    <mergeCell ref="AG7:AG8"/>
    <mergeCell ref="AH7:AH8"/>
    <mergeCell ref="AF15:AF16"/>
    <mergeCell ref="AG15:AG16"/>
    <mergeCell ref="AH15:AH16"/>
    <mergeCell ref="AI15:AI16"/>
    <mergeCell ref="AF7:AF8"/>
    <mergeCell ref="E2:E13"/>
    <mergeCell ref="V2:AB2"/>
    <mergeCell ref="AC2:AJ2"/>
    <mergeCell ref="F3:F12"/>
    <mergeCell ref="V3:AB3"/>
    <mergeCell ref="AC3:AJ3"/>
    <mergeCell ref="G4:G11"/>
    <mergeCell ref="V4:AB4"/>
    <mergeCell ref="AC4:AJ4"/>
    <mergeCell ref="H5:H11"/>
    <mergeCell ref="AI7:AI8"/>
    <mergeCell ref="K7:K8"/>
    <mergeCell ref="Y7:Y8"/>
    <mergeCell ref="Z7:Z8"/>
    <mergeCell ref="AA7:AA8"/>
    <mergeCell ref="AB7:AB8"/>
    <mergeCell ref="I5:I10"/>
    <mergeCell ref="P5:P10"/>
    <mergeCell ref="V5:AB5"/>
    <mergeCell ref="AC5:AJ5"/>
    <mergeCell ref="J6:J9"/>
    <mergeCell ref="Q6:Q9"/>
    <mergeCell ref="V6:AB6"/>
    <mergeCell ref="AC6:AJ6"/>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896">
        <v>1</v>
      </c>
      <c r="F2" s="1290"/>
      <c r="G2" s="1290"/>
      <c r="H2" s="1290"/>
      <c r="I2" s="1290"/>
      <c r="J2" s="1290"/>
      <c r="K2" s="1290"/>
      <c r="L2" s="1291"/>
      <c r="M2" s="1292"/>
      <c r="N2" s="1292"/>
      <c r="O2" s="1292"/>
      <c r="P2" s="298"/>
      <c r="Q2" s="297"/>
      <c r="R2" s="292"/>
      <c r="S2" s="1384" t="e">
        <f>INDEX(PT_DIFFERENTIATION_NUM_NTAR,MATCH(A2,PT_DIFFERENTIATION_NTAR_ID,0))</f>
        <v>#N/A</v>
      </c>
      <c r="T2" s="236" t="s">
        <v>128</v>
      </c>
      <c r="U2" s="238"/>
      <c r="V2" s="2890"/>
      <c r="W2" s="2891"/>
      <c r="X2" s="2891"/>
      <c r="Y2" s="2891"/>
      <c r="Z2" s="2891"/>
      <c r="AA2" s="2891"/>
      <c r="AB2" s="2892"/>
      <c r="AC2" s="2890" t="e">
        <f>INDEX(PT_DIFFERENTIATION_NTAR,MATCH(A2,PT_DIFFERENTIATION_NTAR_ID,0))</f>
        <v>#N/A</v>
      </c>
      <c r="AD2" s="2891"/>
      <c r="AE2" s="2891"/>
      <c r="AF2" s="2891"/>
      <c r="AG2" s="2891"/>
      <c r="AH2" s="2891"/>
      <c r="AI2" s="2891"/>
      <c r="AJ2" s="289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97"/>
      <c r="F3" s="2896">
        <v>1</v>
      </c>
      <c r="G3" s="1290"/>
      <c r="H3" s="1290"/>
      <c r="I3" s="1290"/>
      <c r="J3" s="1290"/>
      <c r="K3" s="1290"/>
      <c r="L3" s="1291"/>
      <c r="M3" s="1292"/>
      <c r="N3" s="1292"/>
      <c r="O3" s="1292"/>
      <c r="P3" s="1380"/>
      <c r="Q3" s="289"/>
      <c r="R3" s="290"/>
      <c r="S3" s="1384" t="e">
        <f>INDEX(PT_DIFFERENTIATION_NUM_TER,MATCH(B3,PT_DIFFERENTIATION_TER_ID,0))</f>
        <v>#N/A</v>
      </c>
      <c r="T3" s="246" t="s">
        <v>442</v>
      </c>
      <c r="U3" s="238"/>
      <c r="V3" s="2890"/>
      <c r="W3" s="2891"/>
      <c r="X3" s="2891"/>
      <c r="Y3" s="2891"/>
      <c r="Z3" s="2891"/>
      <c r="AA3" s="2891"/>
      <c r="AB3" s="2892"/>
      <c r="AC3" s="2890" t="e">
        <f>INDEX(PT_DIFFERENTIATION_TER,MATCH(B3,PT_DIFFERENTIATION_TER_ID,0))</f>
        <v>#N/A</v>
      </c>
      <c r="AD3" s="2891"/>
      <c r="AE3" s="2891"/>
      <c r="AF3" s="2891"/>
      <c r="AG3" s="2891"/>
      <c r="AH3" s="2891"/>
      <c r="AI3" s="2891"/>
      <c r="AJ3" s="2892"/>
      <c r="AK3" s="1185" t="s">
        <v>443</v>
      </c>
      <c r="AM3" s="437"/>
      <c r="AN3" s="437" t="str">
        <f t="shared" si="0"/>
        <v>Территория действия тарифа</v>
      </c>
      <c r="AO3" s="437"/>
      <c r="AP3" s="437"/>
      <c r="AQ3" s="1082">
        <v>0</v>
      </c>
    </row>
    <row r="4" spans="1:43" ht="23.25" hidden="1" customHeight="1">
      <c r="A4" s="1290"/>
      <c r="B4" s="1290"/>
      <c r="C4" s="1290"/>
      <c r="D4" s="1290"/>
      <c r="E4" s="2897"/>
      <c r="F4" s="2897"/>
      <c r="G4" s="2896">
        <v>1</v>
      </c>
      <c r="H4" s="1290"/>
      <c r="I4" s="1290"/>
      <c r="J4" s="1290"/>
      <c r="K4" s="1290"/>
      <c r="L4" s="1291"/>
      <c r="M4" s="1292"/>
      <c r="N4" s="1292"/>
      <c r="O4" s="1292"/>
      <c r="P4" s="291"/>
      <c r="Q4" s="289"/>
      <c r="R4" s="290"/>
      <c r="S4" s="1384" t="e">
        <f>INDEX(PT_DIFFERENTIATION_NUM_CS,MATCH(C4,PT_DIFFERENTIATION_CS_ID,0))</f>
        <v>#N/A</v>
      </c>
      <c r="T4" s="247" t="s">
        <v>527</v>
      </c>
      <c r="U4" s="238"/>
      <c r="V4" s="2890"/>
      <c r="W4" s="2891"/>
      <c r="X4" s="2891"/>
      <c r="Y4" s="2891"/>
      <c r="Z4" s="2891"/>
      <c r="AA4" s="2891"/>
      <c r="AB4" s="2892"/>
      <c r="AC4" s="2890" t="e">
        <f>INDEX(PT_DIFFERENTIATION_CS,MATCH(C4,PT_DIFFERENTIATION_CS_ID,0))</f>
        <v>#N/A</v>
      </c>
      <c r="AD4" s="2891"/>
      <c r="AE4" s="2891"/>
      <c r="AF4" s="2891"/>
      <c r="AG4" s="2891"/>
      <c r="AH4" s="2891"/>
      <c r="AI4" s="2891"/>
      <c r="AJ4" s="2892"/>
      <c r="AK4" s="1185" t="s">
        <v>528</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97"/>
      <c r="F5" s="2897"/>
      <c r="G5" s="2897"/>
      <c r="H5" s="2897"/>
      <c r="I5" s="2898" t="e">
        <f>S4&amp;".1"</f>
        <v>#N/A</v>
      </c>
      <c r="J5" s="1290"/>
      <c r="K5" s="1290"/>
      <c r="L5" s="1291"/>
      <c r="P5" s="2900">
        <v>1</v>
      </c>
      <c r="Q5" s="1377"/>
      <c r="R5" s="293"/>
      <c r="S5" s="1384" t="e">
        <f>$I5</f>
        <v>#N/A</v>
      </c>
      <c r="T5" s="223" t="s">
        <v>529</v>
      </c>
      <c r="U5" s="238"/>
      <c r="V5" s="2965"/>
      <c r="W5" s="2966"/>
      <c r="X5" s="2966"/>
      <c r="Y5" s="2966"/>
      <c r="Z5" s="2966"/>
      <c r="AA5" s="2966"/>
      <c r="AB5" s="2967"/>
      <c r="AC5" s="2968"/>
      <c r="AD5" s="2969"/>
      <c r="AE5" s="2969"/>
      <c r="AF5" s="2969"/>
      <c r="AG5" s="2969"/>
      <c r="AH5" s="2969"/>
      <c r="AI5" s="2969"/>
      <c r="AJ5" s="2970"/>
      <c r="AK5" s="1185" t="s">
        <v>530</v>
      </c>
      <c r="AM5" s="437"/>
      <c r="AN5" s="437" t="str">
        <f t="shared" si="0"/>
        <v>Наименование признака дифференциации</v>
      </c>
      <c r="AO5" s="437"/>
      <c r="AP5" s="437"/>
      <c r="AQ5" s="1082">
        <v>0</v>
      </c>
    </row>
    <row r="6" spans="1:43" ht="23.25" hidden="1" customHeight="1">
      <c r="A6" s="1290"/>
      <c r="B6" s="1290"/>
      <c r="C6" s="1290"/>
      <c r="D6" s="1290"/>
      <c r="E6" s="2897"/>
      <c r="F6" s="2897"/>
      <c r="G6" s="2897"/>
      <c r="H6" s="2897"/>
      <c r="I6" s="2899"/>
      <c r="J6" s="2898" t="e">
        <f>I5&amp;".1"</f>
        <v>#N/A</v>
      </c>
      <c r="K6" s="1290"/>
      <c r="L6" s="1291" t="s">
        <v>451</v>
      </c>
      <c r="P6" s="2900"/>
      <c r="Q6" s="2900">
        <v>1</v>
      </c>
      <c r="R6" s="294"/>
      <c r="S6" s="1384" t="e">
        <f>$J6</f>
        <v>#N/A</v>
      </c>
      <c r="T6" s="224" t="s">
        <v>452</v>
      </c>
      <c r="U6" s="238"/>
      <c r="V6" s="2884"/>
      <c r="W6" s="2885"/>
      <c r="X6" s="2885"/>
      <c r="Y6" s="2885"/>
      <c r="Z6" s="2885"/>
      <c r="AA6" s="2885"/>
      <c r="AB6" s="2886"/>
      <c r="AC6" s="2884"/>
      <c r="AD6" s="2885"/>
      <c r="AE6" s="2885"/>
      <c r="AF6" s="2885"/>
      <c r="AG6" s="2885"/>
      <c r="AH6" s="2885"/>
      <c r="AI6" s="2885"/>
      <c r="AJ6" s="2886"/>
      <c r="AK6" s="1234" t="s">
        <v>531</v>
      </c>
      <c r="AM6" s="437"/>
      <c r="AN6" s="437" t="str">
        <f t="shared" si="0"/>
        <v>Группа потребителей</v>
      </c>
      <c r="AO6" s="437"/>
      <c r="AP6" s="437"/>
      <c r="AQ6" s="1082">
        <v>0</v>
      </c>
    </row>
    <row r="7" spans="1:43" ht="23.25" hidden="1" customHeight="1">
      <c r="A7" s="1290"/>
      <c r="B7" s="1290"/>
      <c r="C7" s="1290"/>
      <c r="D7" s="1290"/>
      <c r="E7" s="2897"/>
      <c r="F7" s="2897"/>
      <c r="G7" s="2897"/>
      <c r="H7" s="2897"/>
      <c r="I7" s="2899"/>
      <c r="J7" s="2899"/>
      <c r="K7" s="2898" t="e">
        <f>J6&amp;".1"</f>
        <v>#N/A</v>
      </c>
      <c r="L7" s="1291"/>
      <c r="P7" s="2900"/>
      <c r="Q7" s="2900"/>
      <c r="R7" s="294">
        <v>1</v>
      </c>
      <c r="S7" s="1384" t="e">
        <f>$K7</f>
        <v>#N/A</v>
      </c>
      <c r="T7" s="1364"/>
      <c r="U7" s="238"/>
      <c r="V7" s="688"/>
      <c r="W7" s="688"/>
      <c r="X7" s="1184"/>
      <c r="Y7" s="2901"/>
      <c r="Z7" s="2768" t="s">
        <v>71</v>
      </c>
      <c r="AA7" s="2901"/>
      <c r="AB7" s="2768" t="s">
        <v>71</v>
      </c>
      <c r="AC7" s="688"/>
      <c r="AD7" s="688"/>
      <c r="AE7" s="1184"/>
      <c r="AF7" s="2901"/>
      <c r="AG7" s="2768" t="s">
        <v>71</v>
      </c>
      <c r="AH7" s="2903"/>
      <c r="AI7" s="2768" t="s">
        <v>71</v>
      </c>
      <c r="AJ7" s="1365"/>
      <c r="AK7" s="29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97"/>
      <c r="F8" s="2897"/>
      <c r="G8" s="2897"/>
      <c r="H8" s="2897"/>
      <c r="I8" s="2899"/>
      <c r="J8" s="2899"/>
      <c r="K8" s="2898"/>
      <c r="L8" s="1291"/>
      <c r="P8" s="2900"/>
      <c r="Q8" s="2900"/>
      <c r="R8" s="294"/>
      <c r="S8" s="1383"/>
      <c r="T8" s="238"/>
      <c r="U8" s="238"/>
      <c r="V8" s="263"/>
      <c r="W8" s="263"/>
      <c r="X8" s="266" t="str">
        <f>Y7&amp;"-"&amp;AA7</f>
        <v>-</v>
      </c>
      <c r="Y8" s="2902"/>
      <c r="Z8" s="2768"/>
      <c r="AA8" s="2902"/>
      <c r="AB8" s="2768"/>
      <c r="AC8" s="263"/>
      <c r="AD8" s="263"/>
      <c r="AE8" s="266" t="str">
        <f>AF7&amp;"-"&amp;AH7</f>
        <v>-</v>
      </c>
      <c r="AF8" s="2902"/>
      <c r="AG8" s="2768"/>
      <c r="AH8" s="2904"/>
      <c r="AI8" s="2768"/>
      <c r="AJ8" s="1366"/>
      <c r="AK8" s="2971"/>
      <c r="AM8" s="437"/>
      <c r="AN8" s="437" t="str">
        <f t="shared" si="0"/>
        <v/>
      </c>
      <c r="AO8" s="437"/>
      <c r="AP8" s="437"/>
      <c r="AQ8" s="1082">
        <v>0</v>
      </c>
    </row>
    <row r="9" spans="1:43" ht="21" hidden="1" customHeight="1">
      <c r="A9" s="1290"/>
      <c r="B9" s="1290"/>
      <c r="C9" s="1290"/>
      <c r="D9" s="1290"/>
      <c r="E9" s="2897"/>
      <c r="F9" s="2897"/>
      <c r="G9" s="2897"/>
      <c r="H9" s="2897"/>
      <c r="I9" s="2899"/>
      <c r="J9" s="2898"/>
      <c r="K9" s="1290"/>
      <c r="L9" s="1291"/>
      <c r="P9" s="2900"/>
      <c r="Q9" s="2900"/>
      <c r="R9" s="293"/>
      <c r="S9" s="1205"/>
      <c r="T9" s="225" t="s">
        <v>532</v>
      </c>
      <c r="U9" s="304"/>
      <c r="V9" s="304"/>
      <c r="W9" s="304"/>
      <c r="X9" s="304"/>
      <c r="Y9" s="304"/>
      <c r="Z9" s="304"/>
      <c r="AA9" s="304"/>
      <c r="AB9" s="304"/>
      <c r="AC9" s="304"/>
      <c r="AD9" s="304"/>
      <c r="AE9" s="304"/>
      <c r="AF9" s="304"/>
      <c r="AG9" s="304"/>
      <c r="AH9" s="304"/>
      <c r="AI9" s="304"/>
      <c r="AJ9" s="304"/>
      <c r="AK9" s="1185" t="s">
        <v>533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97"/>
      <c r="F10" s="2897"/>
      <c r="G10" s="2897"/>
      <c r="H10" s="2897"/>
      <c r="I10" s="2898"/>
      <c r="J10" s="1290"/>
      <c r="K10" s="1290"/>
      <c r="L10" s="1291"/>
      <c r="P10" s="2900"/>
      <c r="Q10" s="1377"/>
      <c r="R10" s="293"/>
      <c r="S10" s="1205"/>
      <c r="T10" s="302" t="s">
        <v>457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97"/>
      <c r="F11" s="2897"/>
      <c r="G11" s="2897"/>
      <c r="H11" s="2896"/>
      <c r="I11" s="1290"/>
      <c r="J11" s="1290"/>
      <c r="K11" s="1290"/>
      <c r="L11" s="1291"/>
      <c r="M11" s="1292"/>
      <c r="N11" s="1292"/>
      <c r="O11" s="474"/>
      <c r="P11" s="297"/>
      <c r="Q11" s="312"/>
      <c r="R11" s="292"/>
      <c r="S11" s="1205"/>
      <c r="T11" s="309" t="s">
        <v>534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97"/>
      <c r="F12" s="2896"/>
      <c r="G12" s="1241"/>
      <c r="H12" s="1241"/>
      <c r="I12" s="1241"/>
      <c r="J12" s="1241"/>
      <c r="K12" s="1241"/>
      <c r="L12" s="1385"/>
      <c r="M12" s="1248"/>
      <c r="N12" s="1248"/>
      <c r="P12" s="1243"/>
      <c r="Q12" s="1244"/>
      <c r="R12" s="1243"/>
      <c r="S12" s="1249"/>
      <c r="T12" s="1252" t="s">
        <v>176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96"/>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894"/>
      <c r="AG15" s="2893" t="s">
        <v>71</v>
      </c>
      <c r="AH15" s="2894"/>
      <c r="AI15" s="2893" t="s">
        <v>71</v>
      </c>
      <c r="AQ15" s="1082">
        <v>0</v>
      </c>
    </row>
    <row r="16" spans="1:43" ht="14.25" hidden="1" customHeight="1">
      <c r="AC16" s="1287"/>
      <c r="AD16" s="1287"/>
      <c r="AE16" s="266" t="str">
        <f>AF15&amp;"-"&amp;AH15</f>
        <v>-</v>
      </c>
      <c r="AF16" s="2893"/>
      <c r="AG16" s="2893"/>
      <c r="AH16" s="2893"/>
      <c r="AI16" s="2893"/>
      <c r="AQ16" s="1082">
        <v>0</v>
      </c>
    </row>
    <row r="17" spans="1:43" ht="14.25" hidden="1" customHeight="1">
      <c r="AI17" s="265"/>
      <c r="AQ17" s="1082">
        <v>0</v>
      </c>
    </row>
    <row r="18" spans="1:43" s="1293" customFormat="1" ht="22.5" hidden="1" customHeight="1">
      <c r="L18" s="1374"/>
      <c r="M18" s="1289"/>
      <c r="N18" s="1289"/>
      <c r="O18" s="1294" t="s">
        <v>459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460</v>
      </c>
      <c r="P20" s="1289"/>
      <c r="Q20" s="1369"/>
      <c r="R20" s="1369"/>
      <c r="S20" s="666"/>
      <c r="T20" s="1087" t="s">
        <v>461</v>
      </c>
      <c r="Z20" s="124" t="s">
        <v>462</v>
      </c>
      <c r="AB20" s="124" t="s">
        <v>463</v>
      </c>
      <c r="AC20" s="1087" t="s">
        <v>461</v>
      </c>
      <c r="AG20" s="124" t="s">
        <v>464</v>
      </c>
      <c r="AI20" s="124" t="s">
        <v>463</v>
      </c>
      <c r="AQ20" s="1087">
        <v>0</v>
      </c>
    </row>
    <row r="21" spans="1:43" ht="14.25" hidden="1" customHeight="1">
      <c r="O21" s="1291"/>
      <c r="AQ21" s="1082">
        <v>0</v>
      </c>
    </row>
    <row r="22" spans="1:43" ht="14.25" hidden="1" customHeight="1">
      <c r="O22" s="1291"/>
      <c r="AQ22" s="1082">
        <v>0</v>
      </c>
    </row>
    <row r="23" spans="1:43" ht="1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5" customHeight="1">
      <c r="Q24" s="313"/>
      <c r="R24" s="313"/>
      <c r="S24" s="28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77"/>
      <c r="U24" s="2877"/>
      <c r="V24" s="2877"/>
      <c r="W24" s="2877"/>
      <c r="X24" s="2877"/>
      <c r="Y24" s="2877"/>
      <c r="Z24" s="2877"/>
      <c r="AA24" s="2877"/>
      <c r="AB24" s="2877"/>
      <c r="AC24" s="2877"/>
      <c r="AD24" s="2877"/>
      <c r="AE24" s="2877"/>
      <c r="AF24" s="2877"/>
      <c r="AG24" s="2877"/>
      <c r="AH24" s="2877"/>
      <c r="AI24" s="1170"/>
      <c r="AQ24" s="1082">
        <v>14</v>
      </c>
    </row>
    <row r="25" spans="1:43" ht="15" customHeight="1">
      <c r="Q25" s="313"/>
      <c r="R25" s="313"/>
      <c r="S25" s="2849" t="str">
        <f>IF(org=0,"Не определено",org)</f>
        <v>ТМУП "ТТС"</v>
      </c>
      <c r="T25" s="2849"/>
      <c r="U25" s="2849"/>
      <c r="V25" s="2849"/>
      <c r="W25" s="2849"/>
      <c r="X25" s="2849"/>
      <c r="Y25" s="2849"/>
      <c r="Z25" s="2849"/>
      <c r="AA25" s="2849"/>
      <c r="AB25" s="2849"/>
      <c r="AC25" s="2849"/>
      <c r="AD25" s="2849"/>
      <c r="AE25" s="2849"/>
      <c r="AF25" s="2849"/>
      <c r="AG25" s="2849"/>
      <c r="AH25" s="284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887" t="s">
        <v>46</v>
      </c>
      <c r="T27" s="2887"/>
      <c r="U27" s="1299"/>
      <c r="V27" s="2889" t="str">
        <f>IF(TITLE_NAME_OR_PR_CHANGE="",IF(TITLE_NAME_OR_PR="","",TITLE_NAME_OR_PR),TITLE_NAME_OR_PR_CHANGE)</f>
        <v/>
      </c>
      <c r="W27" s="2889"/>
      <c r="X27" s="2889"/>
      <c r="Y27" s="2889"/>
      <c r="Z27" s="2889"/>
      <c r="AA27" s="2889"/>
      <c r="AB27" s="264"/>
      <c r="AC27" s="2889" t="str">
        <f>IF(TITLE_NAME_OR_PR_CHANGE="",IF(TITLE_NAME_OR_PR="","",TITLE_NAME_OR_PR),TITLE_NAME_OR_PR_CHANGE)</f>
        <v/>
      </c>
      <c r="AD27" s="2889"/>
      <c r="AE27" s="2889"/>
      <c r="AF27" s="2889"/>
      <c r="AG27" s="2889"/>
      <c r="AH27" s="288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887" t="s">
        <v>465</v>
      </c>
      <c r="T28" s="2887"/>
      <c r="U28" s="1299"/>
      <c r="V28" s="2888" t="str">
        <f>IF(TITLE_DATE_PR_CHANGE="",IF(TITLE_DATE_PR="","",TITLE_DATE_PR),TITLE_DATE_PR_CHANGE)</f>
        <v>14.11.2024</v>
      </c>
      <c r="W28" s="2888"/>
      <c r="X28" s="2888"/>
      <c r="Y28" s="2888"/>
      <c r="Z28" s="2888"/>
      <c r="AA28" s="2888"/>
      <c r="AB28" s="264"/>
      <c r="AC28" s="2888" t="str">
        <f>IF(TITLE_DATE_PR_CHANGE="",IF(TITLE_DATE_PR="","",TITLE_DATE_PR),TITLE_DATE_PR_CHANGE)</f>
        <v>14.11.2024</v>
      </c>
      <c r="AD28" s="2888"/>
      <c r="AE28" s="2888"/>
      <c r="AF28" s="2888"/>
      <c r="AG28" s="2888"/>
      <c r="AH28" s="288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887" t="s">
        <v>466</v>
      </c>
      <c r="T29" s="2887"/>
      <c r="U29" s="1299"/>
      <c r="V29" s="2889" t="str">
        <f>IF(TITLE_NUMBER_PR_CHANGE="",IF(TITLE_NUMBER_PR="","",TITLE_NUMBER_PR),TITLE_NUMBER_PR_CHANGE)</f>
        <v>947 от 12.11.2024</v>
      </c>
      <c r="W29" s="2889"/>
      <c r="X29" s="2889"/>
      <c r="Y29" s="2889"/>
      <c r="Z29" s="2889"/>
      <c r="AA29" s="2889"/>
      <c r="AB29" s="264"/>
      <c r="AC29" s="2889" t="str">
        <f>IF(TITLE_NUMBER_PR_CHANGE="",IF(TITLE_NUMBER_PR="","",TITLE_NUMBER_PR),TITLE_NUMBER_PR_CHANGE)</f>
        <v>947 от 12.11.2024</v>
      </c>
      <c r="AD29" s="2889"/>
      <c r="AE29" s="2889"/>
      <c r="AF29" s="2889"/>
      <c r="AG29" s="2889"/>
      <c r="AH29" s="288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887" t="s">
        <v>47</v>
      </c>
      <c r="T30" s="2887"/>
      <c r="U30" s="1299"/>
      <c r="V30" s="2889" t="str">
        <f>IF(TITLE_IST_PUB_CHANGE="",IF(TITLE_IST_PUB="","",TITLE_IST_PUB),TITLE_IST_PUB_CHANGE)</f>
        <v/>
      </c>
      <c r="W30" s="2889"/>
      <c r="X30" s="2889"/>
      <c r="Y30" s="2889"/>
      <c r="Z30" s="2889"/>
      <c r="AA30" s="2889"/>
      <c r="AB30" s="264"/>
      <c r="AC30" s="2889" t="str">
        <f>IF(TITLE_IST_PUB_CHANGE="",IF(TITLE_IST_PUB="","",TITLE_IST_PUB),TITLE_IST_PUB_CHANGE)</f>
        <v/>
      </c>
      <c r="AD30" s="2889"/>
      <c r="AE30" s="2889"/>
      <c r="AF30" s="2889"/>
      <c r="AG30" s="2889"/>
      <c r="AH30" s="2889"/>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887" t="s">
        <v>467</v>
      </c>
      <c r="T32" s="2887"/>
      <c r="U32" s="1299"/>
      <c r="V32" s="2888" t="str">
        <f>IF(TITLE_DATE_PR_CHANGE="",IF(TITLE_DATE_PR="","",TITLE_DATE_PR),TITLE_DATE_PR_CHANGE)</f>
        <v>14.11.2024</v>
      </c>
      <c r="W32" s="2888"/>
      <c r="X32" s="2888"/>
      <c r="Y32" s="2888"/>
      <c r="Z32" s="2888"/>
      <c r="AA32" s="2888"/>
      <c r="AB32" s="264"/>
      <c r="AC32" s="2888" t="str">
        <f>IF(TITLE_DATE_PR_CHANGE="",IF(TITLE_DATE_PR="","",TITLE_DATE_PR),TITLE_DATE_PR_CHANGE)</f>
        <v>14.11.2024</v>
      </c>
      <c r="AD32" s="2888"/>
      <c r="AE32" s="2888"/>
      <c r="AF32" s="2888"/>
      <c r="AG32" s="2888"/>
      <c r="AH32" s="2888"/>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887" t="s">
        <v>468</v>
      </c>
      <c r="T33" s="2887"/>
      <c r="U33" s="1299"/>
      <c r="V33" s="2889" t="str">
        <f>IF(TITLE_NUMBER_PR_CHANGE="",IF(TITLE_NUMBER_PR="","",TITLE_NUMBER_PR),TITLE_NUMBER_PR_CHANGE)</f>
        <v>947 от 12.11.2024</v>
      </c>
      <c r="W33" s="2889"/>
      <c r="X33" s="2889"/>
      <c r="Y33" s="2889"/>
      <c r="Z33" s="2889"/>
      <c r="AA33" s="2889"/>
      <c r="AB33" s="264"/>
      <c r="AC33" s="2889" t="str">
        <f>IF(TITLE_NUMBER_PR_CHANGE="",IF(TITLE_NUMBER_PR="","",TITLE_NUMBER_PR),TITLE_NUMBER_PR_CHANGE)</f>
        <v>947 от 12.11.2024</v>
      </c>
      <c r="AD33" s="2889"/>
      <c r="AE33" s="2889"/>
      <c r="AF33" s="2889"/>
      <c r="AG33" s="2889"/>
      <c r="AH33" s="2889"/>
      <c r="AI33" s="264"/>
      <c r="AJ33" s="264"/>
      <c r="AK33" s="218"/>
      <c r="AL33" s="305"/>
      <c r="AM33" s="305"/>
      <c r="AN33" s="305"/>
      <c r="AO33" s="305"/>
      <c r="AP33" s="305"/>
      <c r="AQ33" s="355">
        <v>0</v>
      </c>
    </row>
    <row r="34" spans="1:43" s="1778" customFormat="1" ht="0.75"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469</v>
      </c>
      <c r="AC34" s="264"/>
      <c r="AD34" s="264"/>
      <c r="AE34" s="264"/>
      <c r="AF34" s="264"/>
      <c r="AG34" s="264"/>
      <c r="AH34" s="264"/>
      <c r="AI34" s="216" t="s">
        <v>469</v>
      </c>
      <c r="AL34" s="305"/>
      <c r="AM34" s="305"/>
      <c r="AN34" s="305"/>
      <c r="AO34" s="305"/>
      <c r="AP34" s="305"/>
      <c r="AQ34" s="355">
        <v>1</v>
      </c>
    </row>
    <row r="35" spans="1:43" ht="15" customHeight="1">
      <c r="Q35" s="313"/>
      <c r="R35" s="313"/>
      <c r="S35" s="1202"/>
      <c r="T35" s="300"/>
      <c r="U35" s="1171"/>
      <c r="V35" s="2908"/>
      <c r="W35" s="2908"/>
      <c r="X35" s="2908"/>
      <c r="Y35" s="2908"/>
      <c r="Z35" s="2908"/>
      <c r="AA35" s="2908"/>
      <c r="AB35" s="2908"/>
      <c r="AC35" s="2908"/>
      <c r="AD35" s="2908"/>
      <c r="AE35" s="2908"/>
      <c r="AF35" s="2908"/>
      <c r="AG35" s="2908"/>
      <c r="AH35" s="2908"/>
      <c r="AI35" s="2908"/>
      <c r="AQ35" s="1082">
        <v>14</v>
      </c>
    </row>
    <row r="36" spans="1:43" ht="15" customHeight="1">
      <c r="Q36" s="313"/>
      <c r="R36" s="313"/>
      <c r="S36" s="2758" t="s">
        <v>345</v>
      </c>
      <c r="T36" s="2758"/>
      <c r="U36" s="2758"/>
      <c r="V36" s="2758"/>
      <c r="W36" s="2758"/>
      <c r="X36" s="2758"/>
      <c r="Y36" s="2758"/>
      <c r="Z36" s="2758"/>
      <c r="AA36" s="2758"/>
      <c r="AB36" s="2758"/>
      <c r="AC36" s="2758"/>
      <c r="AD36" s="2758"/>
      <c r="AE36" s="2758"/>
      <c r="AF36" s="2758"/>
      <c r="AG36" s="2758"/>
      <c r="AH36" s="2758"/>
      <c r="AI36" s="2758"/>
      <c r="AJ36" s="2758"/>
      <c r="AK36" s="2758" t="s">
        <v>346</v>
      </c>
      <c r="AQ36" s="1082">
        <v>14</v>
      </c>
    </row>
    <row r="37" spans="1:43" ht="15" customHeight="1">
      <c r="Q37" s="313"/>
      <c r="R37" s="313"/>
      <c r="S37" s="2909" t="s">
        <v>93</v>
      </c>
      <c r="T37" s="2857" t="s">
        <v>470</v>
      </c>
      <c r="U37" s="239"/>
      <c r="V37" s="2910" t="s">
        <v>471</v>
      </c>
      <c r="W37" s="2911"/>
      <c r="X37" s="2911"/>
      <c r="Y37" s="2911"/>
      <c r="Z37" s="2911"/>
      <c r="AA37" s="2912"/>
      <c r="AB37" s="2913" t="s">
        <v>472</v>
      </c>
      <c r="AC37" s="2910" t="s">
        <v>471</v>
      </c>
      <c r="AD37" s="2911"/>
      <c r="AE37" s="2911"/>
      <c r="AF37" s="2911"/>
      <c r="AG37" s="2911"/>
      <c r="AH37" s="2912"/>
      <c r="AI37" s="2913" t="s">
        <v>473</v>
      </c>
      <c r="AJ37" s="2916" t="s">
        <v>474</v>
      </c>
      <c r="AK37" s="2758"/>
      <c r="AQ37" s="1082">
        <v>14</v>
      </c>
    </row>
    <row r="38" spans="1:43" ht="36" customHeight="1">
      <c r="Q38" s="313"/>
      <c r="R38" s="313"/>
      <c r="S38" s="2909"/>
      <c r="T38" s="2857"/>
      <c r="U38" s="961"/>
      <c r="V38" s="1379" t="s">
        <v>535</v>
      </c>
      <c r="W38" s="2740" t="s">
        <v>477</v>
      </c>
      <c r="X38" s="2739"/>
      <c r="Y38" s="2740" t="s">
        <v>478</v>
      </c>
      <c r="Z38" s="2745"/>
      <c r="AA38" s="2739"/>
      <c r="AB38" s="2914"/>
      <c r="AC38" s="1379" t="s">
        <v>535</v>
      </c>
      <c r="AD38" s="2740" t="s">
        <v>477</v>
      </c>
      <c r="AE38" s="2739"/>
      <c r="AF38" s="2740" t="s">
        <v>478</v>
      </c>
      <c r="AG38" s="2745"/>
      <c r="AH38" s="2739"/>
      <c r="AI38" s="2914"/>
      <c r="AJ38" s="2917"/>
      <c r="AK38" s="2758"/>
      <c r="AQ38" s="1082">
        <v>34</v>
      </c>
    </row>
    <row r="39" spans="1:43" ht="36" customHeight="1">
      <c r="A39" s="1297"/>
      <c r="B39" s="1297" t="s">
        <v>140</v>
      </c>
      <c r="C39" s="1297" t="s">
        <v>141</v>
      </c>
      <c r="D39" s="1297" t="s">
        <v>142</v>
      </c>
      <c r="E39" s="1291" t="s">
        <v>479</v>
      </c>
      <c r="F39" s="1291" t="s">
        <v>480</v>
      </c>
      <c r="G39" s="1291" t="s">
        <v>481</v>
      </c>
      <c r="H39" s="1291"/>
      <c r="I39" s="1291" t="s">
        <v>536</v>
      </c>
      <c r="J39" s="1291" t="s">
        <v>484</v>
      </c>
      <c r="K39" s="1291" t="s">
        <v>537</v>
      </c>
      <c r="L39" s="1291" t="s">
        <v>460</v>
      </c>
      <c r="Q39" s="313"/>
      <c r="R39" s="313"/>
      <c r="S39" s="2909"/>
      <c r="T39" s="2857"/>
      <c r="U39" s="240"/>
      <c r="V39" s="1379" t="s">
        <v>538</v>
      </c>
      <c r="W39" s="1149" t="s">
        <v>539</v>
      </c>
      <c r="X39" s="1149" t="s">
        <v>540</v>
      </c>
      <c r="Y39" s="1382" t="s">
        <v>488</v>
      </c>
      <c r="Z39" s="2862" t="s">
        <v>489</v>
      </c>
      <c r="AA39" s="2876"/>
      <c r="AB39" s="2915"/>
      <c r="AC39" s="1379" t="s">
        <v>538</v>
      </c>
      <c r="AD39" s="1149" t="s">
        <v>539</v>
      </c>
      <c r="AE39" s="1149" t="s">
        <v>540</v>
      </c>
      <c r="AF39" s="1382" t="s">
        <v>488</v>
      </c>
      <c r="AG39" s="2862" t="s">
        <v>489</v>
      </c>
      <c r="AH39" s="2876"/>
      <c r="AI39" s="2915"/>
      <c r="AJ39" s="2918"/>
      <c r="AK39" s="275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114</v>
      </c>
      <c r="T40" s="1182" t="s">
        <v>115</v>
      </c>
      <c r="U40" s="1172" t="str">
        <f ca="1">OFFSET(U40,0,-1)</f>
        <v>2</v>
      </c>
      <c r="V40" s="1378">
        <f ca="1">OFFSET(V40,0,-1)+1</f>
        <v>3</v>
      </c>
      <c r="W40" s="1378">
        <f ca="1">OFFSET(W40,0,-1)+1</f>
        <v>4</v>
      </c>
      <c r="X40" s="1378">
        <f ca="1">OFFSET(X40,0,-1)+1</f>
        <v>5</v>
      </c>
      <c r="Y40" s="1378">
        <f ca="1">OFFSET(Y40,0,-1)+1</f>
        <v>6</v>
      </c>
      <c r="Z40" s="2907">
        <f ca="1">OFFSET(Z40,0,-1)+1</f>
        <v>7</v>
      </c>
      <c r="AA40" s="2907"/>
      <c r="AB40" s="1378">
        <f ca="1">OFFSET(AB40,0,-2)+1</f>
        <v>8</v>
      </c>
      <c r="AC40" s="1378">
        <f ca="1">OFFSET(AC40,0,-1)+1</f>
        <v>9</v>
      </c>
      <c r="AD40" s="1378">
        <f ca="1">OFFSET(AD40,0,-1)+1</f>
        <v>10</v>
      </c>
      <c r="AE40" s="1378">
        <f ca="1">OFFSET(AE40,0,-1)+1</f>
        <v>11</v>
      </c>
      <c r="AF40" s="1378">
        <f ca="1">OFFSET(AF40,0,-1)+1</f>
        <v>12</v>
      </c>
      <c r="AG40" s="2907">
        <f ca="1">OFFSET(AG40,0,-1)+1</f>
        <v>13</v>
      </c>
      <c r="AH40" s="2907"/>
      <c r="AI40" s="1378">
        <f ca="1">OFFSET(AI40,0,-2)+1</f>
        <v>14</v>
      </c>
      <c r="AJ40" s="1172">
        <f ca="1">OFFSET(AJ40,0,-1)</f>
        <v>14</v>
      </c>
      <c r="AK40" s="1378">
        <f ca="1">OFFSET(AK40,0,-1)+1</f>
        <v>15</v>
      </c>
      <c r="AL40" s="448"/>
      <c r="AM40" s="448"/>
      <c r="AN40" s="448"/>
      <c r="AO40" s="448"/>
      <c r="AP40" s="448"/>
      <c r="AQ40" s="433">
        <v>0</v>
      </c>
    </row>
    <row r="41" spans="1:43" ht="24" customHeight="1">
      <c r="A41" s="1290" t="s">
        <v>276</v>
      </c>
      <c r="B41" s="1290"/>
      <c r="C41" s="1290"/>
      <c r="D41" s="1290"/>
      <c r="E41" s="289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128</v>
      </c>
      <c r="U41" s="238"/>
      <c r="V41" s="2890"/>
      <c r="W41" s="2891"/>
      <c r="X41" s="2891"/>
      <c r="Y41" s="2891"/>
      <c r="Z41" s="2891"/>
      <c r="AA41" s="2891"/>
      <c r="AB41" s="2892"/>
      <c r="AC41" s="2890" t="str">
        <f>INDEX(PT_DIFFERENTIATION_NTAR,MATCH(A41,PT_DIFFERENTIATION_NTAR_ID,0))</f>
        <v/>
      </c>
      <c r="AD41" s="2891"/>
      <c r="AE41" s="2891"/>
      <c r="AF41" s="2891"/>
      <c r="AG41" s="2891"/>
      <c r="AH41" s="2891"/>
      <c r="AI41" s="2891"/>
      <c r="AJ41" s="289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276</v>
      </c>
      <c r="B42" s="1290" t="s">
        <v>277</v>
      </c>
      <c r="C42" s="1290"/>
      <c r="D42" s="1290"/>
      <c r="E42" s="2897"/>
      <c r="F42" s="2896">
        <v>1</v>
      </c>
      <c r="G42" s="1290"/>
      <c r="H42" s="1290"/>
      <c r="I42" s="1290"/>
      <c r="J42" s="1290"/>
      <c r="K42" s="1290"/>
      <c r="L42" s="1291"/>
      <c r="M42" s="1292"/>
      <c r="N42" s="1292"/>
      <c r="O42" s="1292"/>
      <c r="P42" s="1380"/>
      <c r="Q42" s="289"/>
      <c r="R42" s="290"/>
      <c r="S42" s="1384" t="str">
        <f>INDEX(PT_DIFFERENTIATION_NUM_TER,MATCH(B42,PT_DIFFERENTIATION_TER_ID,0))</f>
        <v>.</v>
      </c>
      <c r="T42" s="246" t="s">
        <v>442</v>
      </c>
      <c r="U42" s="238"/>
      <c r="V42" s="2890"/>
      <c r="W42" s="2891"/>
      <c r="X42" s="2891"/>
      <c r="Y42" s="2891"/>
      <c r="Z42" s="2891"/>
      <c r="AA42" s="2891"/>
      <c r="AB42" s="2892"/>
      <c r="AC42" s="2890" t="str">
        <f>INDEX(PT_DIFFERENTIATION_TER,MATCH(B42,PT_DIFFERENTIATION_TER_ID,0))</f>
        <v/>
      </c>
      <c r="AD42" s="2891"/>
      <c r="AE42" s="2891"/>
      <c r="AF42" s="2891"/>
      <c r="AG42" s="2891"/>
      <c r="AH42" s="2891"/>
      <c r="AI42" s="2891"/>
      <c r="AJ42" s="2892"/>
      <c r="AK42" s="1185" t="s">
        <v>443</v>
      </c>
      <c r="AM42" s="437"/>
      <c r="AN42" s="437" t="str">
        <f t="shared" si="1"/>
        <v>Территория действия тарифа</v>
      </c>
      <c r="AO42" s="437"/>
      <c r="AP42" s="437"/>
      <c r="AQ42" s="1082">
        <v>23</v>
      </c>
    </row>
    <row r="43" spans="1:43" ht="24" customHeight="1">
      <c r="A43" s="1290" t="s">
        <v>276</v>
      </c>
      <c r="B43" s="1290" t="s">
        <v>277</v>
      </c>
      <c r="C43" s="1290" t="s">
        <v>278</v>
      </c>
      <c r="D43" s="1290"/>
      <c r="E43" s="2897"/>
      <c r="F43" s="2897"/>
      <c r="G43" s="2896">
        <v>1</v>
      </c>
      <c r="H43" s="1290"/>
      <c r="I43" s="1290"/>
      <c r="J43" s="1290"/>
      <c r="K43" s="1290"/>
      <c r="L43" s="1291"/>
      <c r="M43" s="1292"/>
      <c r="N43" s="1292"/>
      <c r="O43" s="1292"/>
      <c r="P43" s="291"/>
      <c r="Q43" s="289"/>
      <c r="R43" s="290"/>
      <c r="S43" s="1384" t="str">
        <f>INDEX(PT_DIFFERENTIATION_NUM_CS,MATCH(C43,PT_DIFFERENTIATION_CS_ID,0))</f>
        <v>..</v>
      </c>
      <c r="T43" s="247" t="s">
        <v>527</v>
      </c>
      <c r="U43" s="238"/>
      <c r="V43" s="2890"/>
      <c r="W43" s="2891"/>
      <c r="X43" s="2891"/>
      <c r="Y43" s="2891"/>
      <c r="Z43" s="2891"/>
      <c r="AA43" s="2891"/>
      <c r="AB43" s="2892"/>
      <c r="AC43" s="2890" t="str">
        <f>INDEX(PT_DIFFERENTIATION_CS,MATCH(C43,PT_DIFFERENTIATION_CS_ID,0))</f>
        <v/>
      </c>
      <c r="AD43" s="2891"/>
      <c r="AE43" s="2891"/>
      <c r="AF43" s="2891"/>
      <c r="AG43" s="2891"/>
      <c r="AH43" s="2891"/>
      <c r="AI43" s="2891"/>
      <c r="AJ43" s="2892"/>
      <c r="AK43" s="1185" t="s">
        <v>528</v>
      </c>
      <c r="AM43" s="437"/>
      <c r="AN43" s="437" t="str">
        <f t="shared" si="1"/>
        <v>Наименование централизованной системы холодного водоснабжения</v>
      </c>
      <c r="AO43" s="437"/>
      <c r="AP43" s="437"/>
      <c r="AQ43" s="1082">
        <v>23</v>
      </c>
    </row>
    <row r="44" spans="1:43" ht="24" customHeight="1">
      <c r="A44" s="1290" t="s">
        <v>276</v>
      </c>
      <c r="B44" s="1290" t="s">
        <v>277</v>
      </c>
      <c r="C44" s="1290" t="s">
        <v>278</v>
      </c>
      <c r="D44" s="1290" t="s">
        <v>542</v>
      </c>
      <c r="E44" s="2897"/>
      <c r="F44" s="2897"/>
      <c r="G44" s="2897"/>
      <c r="H44" s="2897"/>
      <c r="I44" s="2898" t="str">
        <f>S43&amp;".1"</f>
        <v>...1</v>
      </c>
      <c r="J44" s="1290"/>
      <c r="K44" s="1290"/>
      <c r="L44" s="1291"/>
      <c r="P44" s="2900">
        <v>1</v>
      </c>
      <c r="Q44" s="1377"/>
      <c r="R44" s="293"/>
      <c r="S44" s="1384" t="str">
        <f>$I44</f>
        <v>...1</v>
      </c>
      <c r="T44" s="223" t="s">
        <v>529</v>
      </c>
      <c r="U44" s="238"/>
      <c r="V44" s="2965"/>
      <c r="W44" s="2966"/>
      <c r="X44" s="2966"/>
      <c r="Y44" s="2966"/>
      <c r="Z44" s="2966"/>
      <c r="AA44" s="2966"/>
      <c r="AB44" s="2967"/>
      <c r="AC44" s="2968"/>
      <c r="AD44" s="2969"/>
      <c r="AE44" s="2969"/>
      <c r="AF44" s="2969"/>
      <c r="AG44" s="2969"/>
      <c r="AH44" s="2969"/>
      <c r="AI44" s="2969"/>
      <c r="AJ44" s="2970"/>
      <c r="AK44" s="1185" t="s">
        <v>530</v>
      </c>
      <c r="AM44" s="437"/>
      <c r="AN44" s="437" t="str">
        <f t="shared" si="1"/>
        <v>Наименование признака дифференциации</v>
      </c>
      <c r="AO44" s="437"/>
      <c r="AP44" s="437"/>
      <c r="AQ44" s="1082">
        <v>23</v>
      </c>
    </row>
    <row r="45" spans="1:43" ht="24" customHeight="1">
      <c r="A45" s="1290" t="s">
        <v>276</v>
      </c>
      <c r="B45" s="1290" t="s">
        <v>277</v>
      </c>
      <c r="C45" s="1290" t="s">
        <v>278</v>
      </c>
      <c r="D45" s="1290" t="s">
        <v>542</v>
      </c>
      <c r="E45" s="2897"/>
      <c r="F45" s="2897"/>
      <c r="G45" s="2897"/>
      <c r="H45" s="2897"/>
      <c r="I45" s="2899"/>
      <c r="J45" s="2898" t="str">
        <f>I44&amp;".1"</f>
        <v>...1.1</v>
      </c>
      <c r="K45" s="1290"/>
      <c r="L45" s="1291" t="s">
        <v>451</v>
      </c>
      <c r="P45" s="2900"/>
      <c r="Q45" s="2900">
        <v>1</v>
      </c>
      <c r="R45" s="294"/>
      <c r="S45" s="1384" t="str">
        <f>$J45</f>
        <v>...1.1</v>
      </c>
      <c r="T45" s="224" t="s">
        <v>452</v>
      </c>
      <c r="U45" s="238"/>
      <c r="V45" s="2884"/>
      <c r="W45" s="2885"/>
      <c r="X45" s="2885"/>
      <c r="Y45" s="2885"/>
      <c r="Z45" s="2885"/>
      <c r="AA45" s="2885"/>
      <c r="AB45" s="2886"/>
      <c r="AC45" s="2884"/>
      <c r="AD45" s="2885"/>
      <c r="AE45" s="2885"/>
      <c r="AF45" s="2885"/>
      <c r="AG45" s="2885"/>
      <c r="AH45" s="2885"/>
      <c r="AI45" s="2885"/>
      <c r="AJ45" s="2886"/>
      <c r="AK45" s="1234" t="s">
        <v>531</v>
      </c>
      <c r="AM45" s="437"/>
      <c r="AN45" s="437" t="str">
        <f t="shared" si="1"/>
        <v>Группа потребителей</v>
      </c>
      <c r="AO45" s="437"/>
      <c r="AP45" s="437"/>
      <c r="AQ45" s="1082">
        <v>23</v>
      </c>
    </row>
    <row r="46" spans="1:43" ht="24" customHeight="1">
      <c r="A46" s="1290" t="s">
        <v>276</v>
      </c>
      <c r="B46" s="1290" t="s">
        <v>277</v>
      </c>
      <c r="C46" s="1290" t="s">
        <v>278</v>
      </c>
      <c r="D46" s="1290" t="s">
        <v>542</v>
      </c>
      <c r="E46" s="2897"/>
      <c r="F46" s="2897"/>
      <c r="G46" s="2897"/>
      <c r="H46" s="2897"/>
      <c r="I46" s="2899"/>
      <c r="J46" s="2899"/>
      <c r="K46" s="2898" t="str">
        <f>J45&amp;".1"</f>
        <v>...1.1.1</v>
      </c>
      <c r="L46" s="1291"/>
      <c r="P46" s="2900"/>
      <c r="Q46" s="2900"/>
      <c r="R46" s="294">
        <v>1</v>
      </c>
      <c r="S46" s="1384" t="str">
        <f>$K46</f>
        <v>...1.1.1</v>
      </c>
      <c r="T46" s="1364"/>
      <c r="U46" s="238"/>
      <c r="V46" s="688"/>
      <c r="W46" s="688"/>
      <c r="X46" s="1184"/>
      <c r="Y46" s="2901"/>
      <c r="Z46" s="2768" t="s">
        <v>71</v>
      </c>
      <c r="AA46" s="2901"/>
      <c r="AB46" s="2768" t="s">
        <v>71</v>
      </c>
      <c r="AC46" s="688"/>
      <c r="AD46" s="688"/>
      <c r="AE46" s="1184"/>
      <c r="AF46" s="2901"/>
      <c r="AG46" s="2768" t="s">
        <v>71</v>
      </c>
      <c r="AH46" s="2903"/>
      <c r="AI46" s="2768" t="s">
        <v>71</v>
      </c>
      <c r="AJ46" s="1365"/>
      <c r="AK46" s="29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276</v>
      </c>
      <c r="B47" s="1290" t="s">
        <v>277</v>
      </c>
      <c r="C47" s="1290" t="s">
        <v>278</v>
      </c>
      <c r="D47" s="1290" t="s">
        <v>542</v>
      </c>
      <c r="E47" s="2897"/>
      <c r="F47" s="2897"/>
      <c r="G47" s="2897"/>
      <c r="H47" s="2897"/>
      <c r="I47" s="2899"/>
      <c r="J47" s="2899"/>
      <c r="K47" s="2898"/>
      <c r="L47" s="1291"/>
      <c r="P47" s="2900"/>
      <c r="Q47" s="2900"/>
      <c r="R47" s="294"/>
      <c r="S47" s="1383"/>
      <c r="T47" s="238"/>
      <c r="U47" s="238"/>
      <c r="V47" s="263"/>
      <c r="W47" s="263"/>
      <c r="X47" s="266" t="str">
        <f>Y46&amp;"-"&amp;AA46</f>
        <v>-</v>
      </c>
      <c r="Y47" s="2902"/>
      <c r="Z47" s="2768"/>
      <c r="AA47" s="2902"/>
      <c r="AB47" s="2768"/>
      <c r="AC47" s="263"/>
      <c r="AD47" s="263"/>
      <c r="AE47" s="266" t="str">
        <f>AF46&amp;"-"&amp;AH46</f>
        <v>-</v>
      </c>
      <c r="AF47" s="2902"/>
      <c r="AG47" s="2768"/>
      <c r="AH47" s="2904"/>
      <c r="AI47" s="2768"/>
      <c r="AJ47" s="1366"/>
      <c r="AK47" s="2971"/>
      <c r="AM47" s="437"/>
      <c r="AN47" s="437" t="str">
        <f t="shared" si="1"/>
        <v/>
      </c>
      <c r="AO47" s="437"/>
      <c r="AP47" s="437"/>
      <c r="AQ47" s="1082">
        <v>0</v>
      </c>
    </row>
    <row r="48" spans="1:43" ht="21" customHeight="1">
      <c r="A48" s="1290" t="s">
        <v>276</v>
      </c>
      <c r="B48" s="1290" t="s">
        <v>277</v>
      </c>
      <c r="C48" s="1290" t="s">
        <v>278</v>
      </c>
      <c r="D48" s="1290" t="s">
        <v>542</v>
      </c>
      <c r="E48" s="2897"/>
      <c r="F48" s="2897"/>
      <c r="G48" s="2897"/>
      <c r="H48" s="2897"/>
      <c r="I48" s="2899"/>
      <c r="J48" s="2898"/>
      <c r="K48" s="1290"/>
      <c r="L48" s="1291"/>
      <c r="P48" s="2900"/>
      <c r="Q48" s="2900"/>
      <c r="R48" s="293"/>
      <c r="S48" s="1205"/>
      <c r="T48" s="225" t="s">
        <v>532</v>
      </c>
      <c r="U48" s="304"/>
      <c r="V48" s="304"/>
      <c r="W48" s="304"/>
      <c r="X48" s="304"/>
      <c r="Y48" s="304"/>
      <c r="Z48" s="304"/>
      <c r="AA48" s="304"/>
      <c r="AB48" s="304"/>
      <c r="AC48" s="304"/>
      <c r="AD48" s="304"/>
      <c r="AE48" s="304"/>
      <c r="AF48" s="304"/>
      <c r="AG48" s="304"/>
      <c r="AH48" s="304"/>
      <c r="AI48" s="304"/>
      <c r="AJ48" s="304"/>
      <c r="AK48" s="1185" t="s">
        <v>533</v>
      </c>
      <c r="AM48" s="437"/>
      <c r="AN48" s="437" t="str">
        <f t="shared" si="1"/>
        <v>Добавить значение признака дифференциации</v>
      </c>
      <c r="AO48" s="437"/>
      <c r="AP48" s="437"/>
      <c r="AQ48" s="1082">
        <v>20</v>
      </c>
    </row>
    <row r="49" spans="1:43" ht="21.75" customHeight="1">
      <c r="A49" s="1290" t="s">
        <v>276</v>
      </c>
      <c r="B49" s="1290" t="s">
        <v>277</v>
      </c>
      <c r="C49" s="1290" t="s">
        <v>278</v>
      </c>
      <c r="D49" s="1290" t="s">
        <v>542</v>
      </c>
      <c r="E49" s="2897"/>
      <c r="F49" s="2897"/>
      <c r="G49" s="2897"/>
      <c r="H49" s="2897"/>
      <c r="I49" s="2898"/>
      <c r="J49" s="1290"/>
      <c r="K49" s="1290"/>
      <c r="L49" s="1291"/>
      <c r="P49" s="2900"/>
      <c r="Q49" s="1377"/>
      <c r="R49" s="293"/>
      <c r="S49" s="1205"/>
      <c r="T49" s="302" t="s">
        <v>457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75" customHeight="1">
      <c r="A50" s="1290" t="s">
        <v>276</v>
      </c>
      <c r="B50" s="1290" t="s">
        <v>277</v>
      </c>
      <c r="C50" s="1290" t="s">
        <v>278</v>
      </c>
      <c r="D50" s="1290" t="s">
        <v>542</v>
      </c>
      <c r="E50" s="2897"/>
      <c r="F50" s="2897"/>
      <c r="G50" s="2897"/>
      <c r="H50" s="2896"/>
      <c r="I50" s="1290"/>
      <c r="J50" s="1290"/>
      <c r="K50" s="1290"/>
      <c r="L50" s="1291"/>
      <c r="M50" s="1292"/>
      <c r="N50" s="1292"/>
      <c r="O50" s="474"/>
      <c r="P50" s="297"/>
      <c r="Q50" s="312"/>
      <c r="R50" s="292"/>
      <c r="S50" s="1205"/>
      <c r="T50" s="309" t="s">
        <v>534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276</v>
      </c>
      <c r="B51" s="1270" t="s">
        <v>277</v>
      </c>
      <c r="C51" s="1241"/>
      <c r="D51" s="1241"/>
      <c r="E51" s="2897"/>
      <c r="F51" s="2896"/>
      <c r="G51" s="1241"/>
      <c r="H51" s="1241"/>
      <c r="I51" s="1241"/>
      <c r="J51" s="1241"/>
      <c r="K51" s="1241"/>
      <c r="L51" s="1385"/>
      <c r="M51" s="1248"/>
      <c r="N51" s="1248"/>
      <c r="P51" s="1243"/>
      <c r="Q51" s="1244"/>
      <c r="R51" s="1243"/>
      <c r="S51" s="1249"/>
      <c r="T51" s="1252" t="s">
        <v>176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276</v>
      </c>
      <c r="B52" s="1270"/>
      <c r="C52" s="1270"/>
      <c r="D52" s="1270"/>
      <c r="E52" s="2896"/>
      <c r="F52" s="1270"/>
      <c r="G52" s="1270"/>
      <c r="H52" s="1270"/>
      <c r="I52" s="1270"/>
      <c r="J52" s="1270"/>
      <c r="K52" s="1270"/>
      <c r="L52" s="1273"/>
      <c r="M52" s="1248"/>
      <c r="N52" s="1248"/>
      <c r="O52" s="455"/>
      <c r="P52" s="317"/>
      <c r="Q52" s="1271"/>
      <c r="R52" s="317"/>
      <c r="S52" s="1249"/>
      <c r="T52" s="1252" t="s">
        <v>178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25" customHeight="1">
      <c r="M54" s="1087"/>
      <c r="N54" s="1087"/>
      <c r="O54" s="474"/>
      <c r="P54" s="1082"/>
      <c r="Q54" s="1082"/>
      <c r="R54" s="1082"/>
      <c r="S54" s="1082"/>
      <c r="AL54" s="1082"/>
      <c r="AM54" s="1082"/>
      <c r="AN54" s="1082"/>
      <c r="AO54" s="1082"/>
      <c r="AP54" s="1082"/>
      <c r="AQ54" s="1082">
        <v>11</v>
      </c>
    </row>
    <row r="55" spans="1:43" ht="15" customHeight="1">
      <c r="O55" s="474"/>
      <c r="S55" s="1180"/>
      <c r="T55" s="2895"/>
      <c r="U55" s="2895"/>
      <c r="V55" s="2895"/>
      <c r="W55" s="2895"/>
      <c r="X55" s="2895"/>
      <c r="Y55" s="2895"/>
      <c r="Z55" s="2895"/>
      <c r="AA55" s="2895"/>
      <c r="AB55" s="2895"/>
      <c r="AC55" s="2895"/>
      <c r="AD55" s="2895"/>
      <c r="AE55" s="2895"/>
      <c r="AF55" s="2895"/>
      <c r="AG55" s="2895"/>
      <c r="AH55" s="2895"/>
      <c r="AI55" s="2895"/>
      <c r="AJ55" s="2895"/>
      <c r="AK55" s="2895"/>
      <c r="AQ55" s="1082">
        <v>14</v>
      </c>
    </row>
    <row r="56" spans="1:43" ht="15" customHeight="1">
      <c r="O56" s="474"/>
      <c r="AQ56" s="1082">
        <v>14</v>
      </c>
    </row>
    <row r="57" spans="1:43" ht="15" customHeight="1">
      <c r="O57" s="474"/>
      <c r="S57" s="1180"/>
      <c r="T57" s="2895"/>
      <c r="U57" s="2895"/>
      <c r="V57" s="2895"/>
      <c r="W57" s="2895"/>
      <c r="X57" s="2895"/>
      <c r="Y57" s="2895"/>
      <c r="Z57" s="2895"/>
      <c r="AA57" s="2895"/>
      <c r="AB57" s="2895"/>
      <c r="AC57" s="2895"/>
      <c r="AD57" s="2895"/>
      <c r="AE57" s="2895"/>
      <c r="AF57" s="2895"/>
      <c r="AG57" s="2895"/>
      <c r="AH57" s="2895"/>
      <c r="AI57" s="2895"/>
      <c r="AJ57" s="2895"/>
      <c r="AK57" s="2895"/>
      <c r="AQ57" s="1082">
        <v>14</v>
      </c>
    </row>
    <row r="58" spans="1:43" ht="22.5" hidden="1" customHeight="1">
      <c r="A58" s="1087" t="s">
        <v>87</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T55:AK55"/>
    <mergeCell ref="T57:AK57"/>
    <mergeCell ref="V35:AB35"/>
    <mergeCell ref="S32:T32"/>
    <mergeCell ref="V32:AA32"/>
    <mergeCell ref="AC32:AH32"/>
    <mergeCell ref="S33:T33"/>
    <mergeCell ref="V33:AA33"/>
    <mergeCell ref="AC33:AH33"/>
    <mergeCell ref="AC35:AI35"/>
    <mergeCell ref="Z40:AA40"/>
    <mergeCell ref="AG40:AH40"/>
    <mergeCell ref="S36:AJ36"/>
    <mergeCell ref="AK36:AK39"/>
    <mergeCell ref="S37:S39"/>
    <mergeCell ref="T37:T39"/>
    <mergeCell ref="V37:AA37"/>
    <mergeCell ref="AB37:AB39"/>
    <mergeCell ref="AG46:AG47"/>
    <mergeCell ref="AH46:AH47"/>
    <mergeCell ref="AI46:AI47"/>
    <mergeCell ref="AJ37:AJ39"/>
    <mergeCell ref="AC37:AH37"/>
    <mergeCell ref="W38:X38"/>
    <mergeCell ref="S29:T29"/>
    <mergeCell ref="F3:F12"/>
    <mergeCell ref="V3:AB3"/>
    <mergeCell ref="AC3:AJ3"/>
    <mergeCell ref="G4:G11"/>
    <mergeCell ref="V4:AB4"/>
    <mergeCell ref="AC4:AJ4"/>
    <mergeCell ref="H5:H11"/>
    <mergeCell ref="I5:I10"/>
    <mergeCell ref="P5:P10"/>
    <mergeCell ref="V5:AB5"/>
    <mergeCell ref="AC5:AJ5"/>
    <mergeCell ref="J6:J9"/>
    <mergeCell ref="Q6:Q9"/>
    <mergeCell ref="K7:K8"/>
    <mergeCell ref="Y7:Y8"/>
    <mergeCell ref="V6:AB6"/>
    <mergeCell ref="AC6:AJ6"/>
    <mergeCell ref="AC28:AH28"/>
    <mergeCell ref="Z7:Z8"/>
    <mergeCell ref="AA7:AA8"/>
    <mergeCell ref="AB7:AB8"/>
    <mergeCell ref="AF7:AF8"/>
    <mergeCell ref="AK7:AK8"/>
    <mergeCell ref="AF15:AF16"/>
    <mergeCell ref="AG15:AG16"/>
    <mergeCell ref="AH15:AH16"/>
    <mergeCell ref="AI15:AI16"/>
    <mergeCell ref="Z46:Z47"/>
    <mergeCell ref="AC45:AJ45"/>
    <mergeCell ref="AA46:AA47"/>
    <mergeCell ref="AB46:AB47"/>
    <mergeCell ref="AF46:AF47"/>
    <mergeCell ref="AK46:AK47"/>
    <mergeCell ref="E2:E13"/>
    <mergeCell ref="V2:AB2"/>
    <mergeCell ref="AC2:AJ2"/>
    <mergeCell ref="AI37:AI39"/>
    <mergeCell ref="V29:AA29"/>
    <mergeCell ref="AC29:AH29"/>
    <mergeCell ref="V30:AA30"/>
    <mergeCell ref="AC30:AH30"/>
    <mergeCell ref="Z39:AA39"/>
    <mergeCell ref="AG39:AH39"/>
    <mergeCell ref="AI7:AI8"/>
    <mergeCell ref="S30:T30"/>
    <mergeCell ref="S24:AH24"/>
    <mergeCell ref="S25:AH25"/>
    <mergeCell ref="S27:T27"/>
    <mergeCell ref="V27:AA27"/>
    <mergeCell ref="AC27:AH27"/>
    <mergeCell ref="S28:T28"/>
    <mergeCell ref="V28:AA28"/>
    <mergeCell ref="Y38:AA38"/>
    <mergeCell ref="AD38:AE38"/>
    <mergeCell ref="AF38:AH38"/>
    <mergeCell ref="AG7:AG8"/>
    <mergeCell ref="AH7:AH8"/>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K46:K47"/>
    <mergeCell ref="Y46:Y47"/>
  </mergeCells>
  <dataValidations count="8">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896">
        <v>1</v>
      </c>
      <c r="F2" s="1290"/>
      <c r="G2" s="1290"/>
      <c r="H2" s="1290"/>
      <c r="I2" s="1290"/>
      <c r="J2" s="1290"/>
      <c r="K2" s="1290"/>
      <c r="L2" s="1291"/>
      <c r="M2" s="1292"/>
      <c r="N2" s="1292"/>
      <c r="O2" s="1292"/>
      <c r="P2" s="298"/>
      <c r="Q2" s="297"/>
      <c r="R2" s="292"/>
      <c r="S2" s="1384" t="e">
        <f>INDEX(PT_DIFFERENTIATION_NUM_NTAR,MATCH(A2,PT_DIFFERENTIATION_NTAR_ID,0))</f>
        <v>#N/A</v>
      </c>
      <c r="T2" s="236" t="s">
        <v>128</v>
      </c>
      <c r="U2" s="238"/>
      <c r="V2" s="2890"/>
      <c r="W2" s="2891"/>
      <c r="X2" s="2891"/>
      <c r="Y2" s="2891"/>
      <c r="Z2" s="2891"/>
      <c r="AA2" s="2891"/>
      <c r="AB2" s="2892"/>
      <c r="AC2" s="2890" t="e">
        <f>INDEX(PT_DIFFERENTIATION_NTAR,MATCH(A2,PT_DIFFERENTIATION_NTAR_ID,0))</f>
        <v>#N/A</v>
      </c>
      <c r="AD2" s="2891"/>
      <c r="AE2" s="2891"/>
      <c r="AF2" s="2891"/>
      <c r="AG2" s="2891"/>
      <c r="AH2" s="2891"/>
      <c r="AI2" s="2891"/>
      <c r="AJ2" s="289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97"/>
      <c r="F3" s="2896">
        <v>1</v>
      </c>
      <c r="G3" s="1290"/>
      <c r="H3" s="1290"/>
      <c r="I3" s="1290"/>
      <c r="J3" s="1290"/>
      <c r="K3" s="1290"/>
      <c r="L3" s="1291"/>
      <c r="M3" s="1292"/>
      <c r="N3" s="1292"/>
      <c r="O3" s="1292"/>
      <c r="P3" s="1380"/>
      <c r="Q3" s="289"/>
      <c r="R3" s="290"/>
      <c r="S3" s="1384" t="e">
        <f>INDEX(PT_DIFFERENTIATION_NUM_TER,MATCH(B3,PT_DIFFERENTIATION_TER_ID,0))</f>
        <v>#N/A</v>
      </c>
      <c r="T3" s="246" t="s">
        <v>442</v>
      </c>
      <c r="U3" s="238"/>
      <c r="V3" s="2890"/>
      <c r="W3" s="2891"/>
      <c r="X3" s="2891"/>
      <c r="Y3" s="2891"/>
      <c r="Z3" s="2891"/>
      <c r="AA3" s="2891"/>
      <c r="AB3" s="2892"/>
      <c r="AC3" s="2890" t="e">
        <f>INDEX(PT_DIFFERENTIATION_TER,MATCH(B3,PT_DIFFERENTIATION_TER_ID,0))</f>
        <v>#N/A</v>
      </c>
      <c r="AD3" s="2891"/>
      <c r="AE3" s="2891"/>
      <c r="AF3" s="2891"/>
      <c r="AG3" s="2891"/>
      <c r="AH3" s="2891"/>
      <c r="AI3" s="2891"/>
      <c r="AJ3" s="2892"/>
      <c r="AK3" s="1185" t="s">
        <v>443</v>
      </c>
      <c r="AM3" s="437"/>
      <c r="AN3" s="437" t="str">
        <f t="shared" si="0"/>
        <v>Территория действия тарифа</v>
      </c>
      <c r="AO3" s="437"/>
      <c r="AP3" s="437"/>
      <c r="AQ3" s="1082">
        <v>0</v>
      </c>
    </row>
    <row r="4" spans="1:43" ht="23.25" hidden="1" customHeight="1">
      <c r="A4" s="1290"/>
      <c r="B4" s="1290"/>
      <c r="C4" s="1290"/>
      <c r="D4" s="1290"/>
      <c r="E4" s="2897"/>
      <c r="F4" s="2897"/>
      <c r="G4" s="2896">
        <v>1</v>
      </c>
      <c r="H4" s="1290"/>
      <c r="I4" s="1290"/>
      <c r="J4" s="1290"/>
      <c r="K4" s="1290"/>
      <c r="L4" s="1291"/>
      <c r="M4" s="1292"/>
      <c r="N4" s="1292"/>
      <c r="O4" s="1292"/>
      <c r="P4" s="291"/>
      <c r="Q4" s="289"/>
      <c r="R4" s="290"/>
      <c r="S4" s="1384" t="e">
        <f>INDEX(PT_DIFFERENTIATION_NUM_CS,MATCH(C4,PT_DIFFERENTIATION_CS_ID,0))</f>
        <v>#N/A</v>
      </c>
      <c r="T4" s="247" t="s">
        <v>527</v>
      </c>
      <c r="U4" s="238"/>
      <c r="V4" s="2890"/>
      <c r="W4" s="2891"/>
      <c r="X4" s="2891"/>
      <c r="Y4" s="2891"/>
      <c r="Z4" s="2891"/>
      <c r="AA4" s="2891"/>
      <c r="AB4" s="2892"/>
      <c r="AC4" s="2890" t="e">
        <f>INDEX(PT_DIFFERENTIATION_CS,MATCH(C4,PT_DIFFERENTIATION_CS_ID,0))</f>
        <v>#N/A</v>
      </c>
      <c r="AD4" s="2891"/>
      <c r="AE4" s="2891"/>
      <c r="AF4" s="2891"/>
      <c r="AG4" s="2891"/>
      <c r="AH4" s="2891"/>
      <c r="AI4" s="2891"/>
      <c r="AJ4" s="2892"/>
      <c r="AK4" s="1185" t="s">
        <v>528</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97"/>
      <c r="F5" s="2897"/>
      <c r="G5" s="2897"/>
      <c r="H5" s="2897"/>
      <c r="I5" s="2898" t="e">
        <f>S4&amp;".1"</f>
        <v>#N/A</v>
      </c>
      <c r="J5" s="1290"/>
      <c r="K5" s="1290"/>
      <c r="L5" s="1291"/>
      <c r="P5" s="2900">
        <v>1</v>
      </c>
      <c r="Q5" s="1377"/>
      <c r="R5" s="293"/>
      <c r="S5" s="1384" t="e">
        <f>$I5</f>
        <v>#N/A</v>
      </c>
      <c r="T5" s="223" t="s">
        <v>529</v>
      </c>
      <c r="U5" s="238"/>
      <c r="V5" s="2965"/>
      <c r="W5" s="2966"/>
      <c r="X5" s="2966"/>
      <c r="Y5" s="2966"/>
      <c r="Z5" s="2966"/>
      <c r="AA5" s="2966"/>
      <c r="AB5" s="2967"/>
      <c r="AC5" s="2968"/>
      <c r="AD5" s="2969"/>
      <c r="AE5" s="2969"/>
      <c r="AF5" s="2969"/>
      <c r="AG5" s="2969"/>
      <c r="AH5" s="2969"/>
      <c r="AI5" s="2969"/>
      <c r="AJ5" s="2970"/>
      <c r="AK5" s="1185" t="s">
        <v>530</v>
      </c>
      <c r="AM5" s="437"/>
      <c r="AN5" s="437" t="str">
        <f t="shared" si="0"/>
        <v>Наименование признака дифференциации</v>
      </c>
      <c r="AO5" s="437"/>
      <c r="AP5" s="437"/>
      <c r="AQ5" s="1082">
        <v>0</v>
      </c>
    </row>
    <row r="6" spans="1:43" ht="23.25" hidden="1" customHeight="1">
      <c r="A6" s="1290"/>
      <c r="B6" s="1290"/>
      <c r="C6" s="1290"/>
      <c r="D6" s="1290"/>
      <c r="E6" s="2897"/>
      <c r="F6" s="2897"/>
      <c r="G6" s="2897"/>
      <c r="H6" s="2897"/>
      <c r="I6" s="2899"/>
      <c r="J6" s="2898" t="e">
        <f>I5&amp;".1"</f>
        <v>#N/A</v>
      </c>
      <c r="K6" s="1290"/>
      <c r="L6" s="1291" t="s">
        <v>451</v>
      </c>
      <c r="P6" s="2900"/>
      <c r="Q6" s="2900">
        <v>1</v>
      </c>
      <c r="R6" s="294"/>
      <c r="S6" s="1384" t="e">
        <f>$J6</f>
        <v>#N/A</v>
      </c>
      <c r="T6" s="224" t="s">
        <v>452</v>
      </c>
      <c r="U6" s="238"/>
      <c r="V6" s="2884"/>
      <c r="W6" s="2885"/>
      <c r="X6" s="2885"/>
      <c r="Y6" s="2885"/>
      <c r="Z6" s="2885"/>
      <c r="AA6" s="2885"/>
      <c r="AB6" s="2886"/>
      <c r="AC6" s="2884"/>
      <c r="AD6" s="2885"/>
      <c r="AE6" s="2885"/>
      <c r="AF6" s="2885"/>
      <c r="AG6" s="2885"/>
      <c r="AH6" s="2885"/>
      <c r="AI6" s="2885"/>
      <c r="AJ6" s="2886"/>
      <c r="AK6" s="1234" t="s">
        <v>531</v>
      </c>
      <c r="AM6" s="437"/>
      <c r="AN6" s="437" t="str">
        <f t="shared" si="0"/>
        <v>Группа потребителей</v>
      </c>
      <c r="AO6" s="437"/>
      <c r="AP6" s="437"/>
      <c r="AQ6" s="1082">
        <v>0</v>
      </c>
    </row>
    <row r="7" spans="1:43" ht="23.25" hidden="1" customHeight="1">
      <c r="A7" s="1290"/>
      <c r="B7" s="1290"/>
      <c r="C7" s="1290"/>
      <c r="D7" s="1290"/>
      <c r="E7" s="2897"/>
      <c r="F7" s="2897"/>
      <c r="G7" s="2897"/>
      <c r="H7" s="2897"/>
      <c r="I7" s="2899"/>
      <c r="J7" s="2899"/>
      <c r="K7" s="2898" t="e">
        <f>J6&amp;".1"</f>
        <v>#N/A</v>
      </c>
      <c r="L7" s="1291"/>
      <c r="P7" s="2900"/>
      <c r="Q7" s="2900"/>
      <c r="R7" s="294">
        <v>1</v>
      </c>
      <c r="S7" s="1384" t="e">
        <f>$K7</f>
        <v>#N/A</v>
      </c>
      <c r="T7" s="1364"/>
      <c r="U7" s="238"/>
      <c r="V7" s="688"/>
      <c r="W7" s="688"/>
      <c r="X7" s="1184"/>
      <c r="Y7" s="2901"/>
      <c r="Z7" s="2768" t="s">
        <v>71</v>
      </c>
      <c r="AA7" s="2901"/>
      <c r="AB7" s="2768" t="s">
        <v>71</v>
      </c>
      <c r="AC7" s="688"/>
      <c r="AD7" s="688"/>
      <c r="AE7" s="1184"/>
      <c r="AF7" s="2901"/>
      <c r="AG7" s="2768" t="s">
        <v>71</v>
      </c>
      <c r="AH7" s="2903"/>
      <c r="AI7" s="2768" t="s">
        <v>71</v>
      </c>
      <c r="AJ7" s="1365"/>
      <c r="AK7" s="29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97"/>
      <c r="F8" s="2897"/>
      <c r="G8" s="2897"/>
      <c r="H8" s="2897"/>
      <c r="I8" s="2899"/>
      <c r="J8" s="2899"/>
      <c r="K8" s="2898"/>
      <c r="L8" s="1291"/>
      <c r="P8" s="2900"/>
      <c r="Q8" s="2900"/>
      <c r="R8" s="294"/>
      <c r="S8" s="1383"/>
      <c r="T8" s="238"/>
      <c r="U8" s="238"/>
      <c r="V8" s="263"/>
      <c r="W8" s="263"/>
      <c r="X8" s="266" t="str">
        <f>Y7&amp;"-"&amp;AA7</f>
        <v>-</v>
      </c>
      <c r="Y8" s="2902"/>
      <c r="Z8" s="2768"/>
      <c r="AA8" s="2902"/>
      <c r="AB8" s="2768"/>
      <c r="AC8" s="263"/>
      <c r="AD8" s="263"/>
      <c r="AE8" s="266" t="str">
        <f>AF7&amp;"-"&amp;AH7</f>
        <v>-</v>
      </c>
      <c r="AF8" s="2902"/>
      <c r="AG8" s="2768"/>
      <c r="AH8" s="2904"/>
      <c r="AI8" s="2768"/>
      <c r="AJ8" s="1366"/>
      <c r="AK8" s="2971"/>
      <c r="AM8" s="437"/>
      <c r="AN8" s="437" t="str">
        <f t="shared" si="0"/>
        <v/>
      </c>
      <c r="AO8" s="437"/>
      <c r="AP8" s="437"/>
      <c r="AQ8" s="1082">
        <v>0</v>
      </c>
    </row>
    <row r="9" spans="1:43" ht="21" hidden="1" customHeight="1">
      <c r="A9" s="1290"/>
      <c r="B9" s="1290"/>
      <c r="C9" s="1290"/>
      <c r="D9" s="1290"/>
      <c r="E9" s="2897"/>
      <c r="F9" s="2897"/>
      <c r="G9" s="2897"/>
      <c r="H9" s="2897"/>
      <c r="I9" s="2899"/>
      <c r="J9" s="2898"/>
      <c r="K9" s="1290"/>
      <c r="L9" s="1291"/>
      <c r="P9" s="2900"/>
      <c r="Q9" s="2900"/>
      <c r="R9" s="293"/>
      <c r="S9" s="1205"/>
      <c r="T9" s="225" t="s">
        <v>532</v>
      </c>
      <c r="U9" s="304"/>
      <c r="V9" s="304"/>
      <c r="W9" s="304"/>
      <c r="X9" s="304"/>
      <c r="Y9" s="304"/>
      <c r="Z9" s="304"/>
      <c r="AA9" s="304"/>
      <c r="AB9" s="304"/>
      <c r="AC9" s="304"/>
      <c r="AD9" s="304"/>
      <c r="AE9" s="304"/>
      <c r="AF9" s="304"/>
      <c r="AG9" s="304"/>
      <c r="AH9" s="304"/>
      <c r="AI9" s="304"/>
      <c r="AJ9" s="304"/>
      <c r="AK9" s="1185" t="s">
        <v>533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97"/>
      <c r="F10" s="2897"/>
      <c r="G10" s="2897"/>
      <c r="H10" s="2897"/>
      <c r="I10" s="2898"/>
      <c r="J10" s="1290"/>
      <c r="K10" s="1290"/>
      <c r="L10" s="1291"/>
      <c r="P10" s="2900"/>
      <c r="Q10" s="1377"/>
      <c r="R10" s="293"/>
      <c r="S10" s="1205"/>
      <c r="T10" s="302" t="s">
        <v>457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97"/>
      <c r="F11" s="2897"/>
      <c r="G11" s="2897"/>
      <c r="H11" s="2896"/>
      <c r="I11" s="1290"/>
      <c r="J11" s="1290"/>
      <c r="K11" s="1290"/>
      <c r="L11" s="1291"/>
      <c r="M11" s="1292"/>
      <c r="N11" s="1292"/>
      <c r="O11" s="474"/>
      <c r="P11" s="297"/>
      <c r="Q11" s="312"/>
      <c r="R11" s="292"/>
      <c r="S11" s="1205"/>
      <c r="T11" s="309" t="s">
        <v>534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97"/>
      <c r="F12" s="2896"/>
      <c r="G12" s="1241"/>
      <c r="H12" s="1241"/>
      <c r="I12" s="1241"/>
      <c r="J12" s="1241"/>
      <c r="K12" s="1241"/>
      <c r="L12" s="1385"/>
      <c r="M12" s="1248"/>
      <c r="N12" s="1248"/>
      <c r="P12" s="1243"/>
      <c r="Q12" s="1244"/>
      <c r="R12" s="1243"/>
      <c r="S12" s="1249"/>
      <c r="T12" s="1252" t="s">
        <v>176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96"/>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894"/>
      <c r="AG15" s="2893" t="s">
        <v>71</v>
      </c>
      <c r="AH15" s="2894"/>
      <c r="AI15" s="2893" t="s">
        <v>71</v>
      </c>
      <c r="AQ15" s="1082">
        <v>0</v>
      </c>
    </row>
    <row r="16" spans="1:43" ht="14.25" hidden="1" customHeight="1">
      <c r="AC16" s="1287"/>
      <c r="AD16" s="1287"/>
      <c r="AE16" s="266" t="str">
        <f>AF15&amp;"-"&amp;AH15</f>
        <v>-</v>
      </c>
      <c r="AF16" s="2893"/>
      <c r="AG16" s="2893"/>
      <c r="AH16" s="2893"/>
      <c r="AI16" s="2893"/>
      <c r="AQ16" s="1082">
        <v>0</v>
      </c>
    </row>
    <row r="17" spans="1:43" ht="14.25" hidden="1" customHeight="1">
      <c r="AI17" s="265"/>
      <c r="AQ17" s="1082">
        <v>0</v>
      </c>
    </row>
    <row r="18" spans="1:43" s="1293" customFormat="1" ht="22.5" hidden="1" customHeight="1">
      <c r="L18" s="1374"/>
      <c r="M18" s="1289"/>
      <c r="N18" s="1289"/>
      <c r="O18" s="1294" t="s">
        <v>459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460</v>
      </c>
      <c r="P20" s="1289"/>
      <c r="Q20" s="1369"/>
      <c r="R20" s="1369"/>
      <c r="S20" s="666"/>
      <c r="T20" s="1087" t="s">
        <v>461</v>
      </c>
      <c r="Z20" s="124" t="s">
        <v>462</v>
      </c>
      <c r="AB20" s="124" t="s">
        <v>463</v>
      </c>
      <c r="AC20" s="1087" t="s">
        <v>461</v>
      </c>
      <c r="AG20" s="124" t="s">
        <v>464</v>
      </c>
      <c r="AI20" s="124" t="s">
        <v>463</v>
      </c>
      <c r="AQ20" s="1087">
        <v>0</v>
      </c>
    </row>
    <row r="21" spans="1:43" ht="14.25" hidden="1" customHeight="1">
      <c r="O21" s="1291"/>
      <c r="AQ21" s="1082">
        <v>0</v>
      </c>
    </row>
    <row r="22" spans="1:43" ht="14.25" hidden="1" customHeight="1">
      <c r="O22" s="1291"/>
      <c r="AQ22" s="1082">
        <v>0</v>
      </c>
    </row>
    <row r="23" spans="1:43" ht="1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5" customHeight="1">
      <c r="Q24" s="313"/>
      <c r="R24" s="313"/>
      <c r="S24" s="28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77"/>
      <c r="U24" s="2877"/>
      <c r="V24" s="2877"/>
      <c r="W24" s="2877"/>
      <c r="X24" s="2877"/>
      <c r="Y24" s="2877"/>
      <c r="Z24" s="2877"/>
      <c r="AA24" s="2877"/>
      <c r="AB24" s="2877"/>
      <c r="AC24" s="2877"/>
      <c r="AD24" s="2877"/>
      <c r="AE24" s="2877"/>
      <c r="AF24" s="2877"/>
      <c r="AG24" s="2877"/>
      <c r="AH24" s="2877"/>
      <c r="AI24" s="1170"/>
      <c r="AQ24" s="1082">
        <v>14</v>
      </c>
    </row>
    <row r="25" spans="1:43" ht="15" customHeight="1">
      <c r="Q25" s="313"/>
      <c r="R25" s="313"/>
      <c r="S25" s="2849" t="str">
        <f>IF(org=0,"Не определено",org)</f>
        <v>ТМУП "ТТС"</v>
      </c>
      <c r="T25" s="2849"/>
      <c r="U25" s="2849"/>
      <c r="V25" s="2849"/>
      <c r="W25" s="2849"/>
      <c r="X25" s="2849"/>
      <c r="Y25" s="2849"/>
      <c r="Z25" s="2849"/>
      <c r="AA25" s="2849"/>
      <c r="AB25" s="2849"/>
      <c r="AC25" s="2849"/>
      <c r="AD25" s="2849"/>
      <c r="AE25" s="2849"/>
      <c r="AF25" s="2849"/>
      <c r="AG25" s="2849"/>
      <c r="AH25" s="284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887" t="s">
        <v>46</v>
      </c>
      <c r="T27" s="2887"/>
      <c r="U27" s="1299"/>
      <c r="V27" s="2889" t="str">
        <f>IF(TITLE_NAME_OR_PR_CHANGE="",IF(TITLE_NAME_OR_PR="","",TITLE_NAME_OR_PR),TITLE_NAME_OR_PR_CHANGE)</f>
        <v/>
      </c>
      <c r="W27" s="2889"/>
      <c r="X27" s="2889"/>
      <c r="Y27" s="2889"/>
      <c r="Z27" s="2889"/>
      <c r="AA27" s="2889"/>
      <c r="AB27" s="264"/>
      <c r="AC27" s="2889" t="str">
        <f>IF(TITLE_NAME_OR_PR_CHANGE="",IF(TITLE_NAME_OR_PR="","",TITLE_NAME_OR_PR),TITLE_NAME_OR_PR_CHANGE)</f>
        <v/>
      </c>
      <c r="AD27" s="2889"/>
      <c r="AE27" s="2889"/>
      <c r="AF27" s="2889"/>
      <c r="AG27" s="2889"/>
      <c r="AH27" s="288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887" t="s">
        <v>465</v>
      </c>
      <c r="T28" s="2887"/>
      <c r="U28" s="1299"/>
      <c r="V28" s="2888" t="str">
        <f>IF(TITLE_DATE_PR_CHANGE="",IF(TITLE_DATE_PR="","",TITLE_DATE_PR),TITLE_DATE_PR_CHANGE)</f>
        <v>14.11.2024</v>
      </c>
      <c r="W28" s="2888"/>
      <c r="X28" s="2888"/>
      <c r="Y28" s="2888"/>
      <c r="Z28" s="2888"/>
      <c r="AA28" s="2888"/>
      <c r="AB28" s="264"/>
      <c r="AC28" s="2888" t="str">
        <f>IF(TITLE_DATE_PR_CHANGE="",IF(TITLE_DATE_PR="","",TITLE_DATE_PR),TITLE_DATE_PR_CHANGE)</f>
        <v>14.11.2024</v>
      </c>
      <c r="AD28" s="2888"/>
      <c r="AE28" s="2888"/>
      <c r="AF28" s="2888"/>
      <c r="AG28" s="2888"/>
      <c r="AH28" s="288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887" t="s">
        <v>466</v>
      </c>
      <c r="T29" s="2887"/>
      <c r="U29" s="1299"/>
      <c r="V29" s="2889" t="str">
        <f>IF(TITLE_NUMBER_PR_CHANGE="",IF(TITLE_NUMBER_PR="","",TITLE_NUMBER_PR),TITLE_NUMBER_PR_CHANGE)</f>
        <v>947 от 12.11.2024</v>
      </c>
      <c r="W29" s="2889"/>
      <c r="X29" s="2889"/>
      <c r="Y29" s="2889"/>
      <c r="Z29" s="2889"/>
      <c r="AA29" s="2889"/>
      <c r="AB29" s="264"/>
      <c r="AC29" s="2889" t="str">
        <f>IF(TITLE_NUMBER_PR_CHANGE="",IF(TITLE_NUMBER_PR="","",TITLE_NUMBER_PR),TITLE_NUMBER_PR_CHANGE)</f>
        <v>947 от 12.11.2024</v>
      </c>
      <c r="AD29" s="2889"/>
      <c r="AE29" s="2889"/>
      <c r="AF29" s="2889"/>
      <c r="AG29" s="2889"/>
      <c r="AH29" s="288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887" t="s">
        <v>47</v>
      </c>
      <c r="T30" s="2887"/>
      <c r="U30" s="1299"/>
      <c r="V30" s="2889" t="str">
        <f>IF(TITLE_IST_PUB_CHANGE="",IF(TITLE_IST_PUB="","",TITLE_IST_PUB),TITLE_IST_PUB_CHANGE)</f>
        <v/>
      </c>
      <c r="W30" s="2889"/>
      <c r="X30" s="2889"/>
      <c r="Y30" s="2889"/>
      <c r="Z30" s="2889"/>
      <c r="AA30" s="2889"/>
      <c r="AB30" s="264"/>
      <c r="AC30" s="2889" t="str">
        <f>IF(TITLE_IST_PUB_CHANGE="",IF(TITLE_IST_PUB="","",TITLE_IST_PUB),TITLE_IST_PUB_CHANGE)</f>
        <v/>
      </c>
      <c r="AD30" s="2889"/>
      <c r="AE30" s="2889"/>
      <c r="AF30" s="2889"/>
      <c r="AG30" s="2889"/>
      <c r="AH30" s="2889"/>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887" t="s">
        <v>467</v>
      </c>
      <c r="T32" s="2887"/>
      <c r="U32" s="1299"/>
      <c r="V32" s="2888" t="str">
        <f>IF(TITLE_DATE_PR_CHANGE="",IF(TITLE_DATE_PR="","",TITLE_DATE_PR),TITLE_DATE_PR_CHANGE)</f>
        <v>14.11.2024</v>
      </c>
      <c r="W32" s="2888"/>
      <c r="X32" s="2888"/>
      <c r="Y32" s="2888"/>
      <c r="Z32" s="2888"/>
      <c r="AA32" s="2888"/>
      <c r="AB32" s="264"/>
      <c r="AC32" s="2888" t="str">
        <f>IF(TITLE_DATE_PR_CHANGE="",IF(TITLE_DATE_PR="","",TITLE_DATE_PR),TITLE_DATE_PR_CHANGE)</f>
        <v>14.11.2024</v>
      </c>
      <c r="AD32" s="2888"/>
      <c r="AE32" s="2888"/>
      <c r="AF32" s="2888"/>
      <c r="AG32" s="2888"/>
      <c r="AH32" s="2888"/>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887" t="s">
        <v>468</v>
      </c>
      <c r="T33" s="2887"/>
      <c r="U33" s="1299"/>
      <c r="V33" s="2889" t="str">
        <f>IF(TITLE_NUMBER_PR_CHANGE="",IF(TITLE_NUMBER_PR="","",TITLE_NUMBER_PR),TITLE_NUMBER_PR_CHANGE)</f>
        <v>947 от 12.11.2024</v>
      </c>
      <c r="W33" s="2889"/>
      <c r="X33" s="2889"/>
      <c r="Y33" s="2889"/>
      <c r="Z33" s="2889"/>
      <c r="AA33" s="2889"/>
      <c r="AB33" s="264"/>
      <c r="AC33" s="2889" t="str">
        <f>IF(TITLE_NUMBER_PR_CHANGE="",IF(TITLE_NUMBER_PR="","",TITLE_NUMBER_PR),TITLE_NUMBER_PR_CHANGE)</f>
        <v>947 от 12.11.2024</v>
      </c>
      <c r="AD33" s="2889"/>
      <c r="AE33" s="2889"/>
      <c r="AF33" s="2889"/>
      <c r="AG33" s="2889"/>
      <c r="AH33" s="2889"/>
      <c r="AI33" s="264"/>
      <c r="AJ33" s="264"/>
      <c r="AK33" s="218"/>
      <c r="AL33" s="305"/>
      <c r="AM33" s="305"/>
      <c r="AN33" s="305"/>
      <c r="AO33" s="305"/>
      <c r="AP33" s="305"/>
      <c r="AQ33" s="355">
        <v>0</v>
      </c>
    </row>
    <row r="34" spans="1:43" s="1778" customFormat="1" ht="0.75"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469</v>
      </c>
      <c r="AC34" s="264"/>
      <c r="AD34" s="264"/>
      <c r="AE34" s="264"/>
      <c r="AF34" s="264"/>
      <c r="AG34" s="264"/>
      <c r="AH34" s="264"/>
      <c r="AI34" s="216" t="s">
        <v>469</v>
      </c>
      <c r="AL34" s="305"/>
      <c r="AM34" s="305"/>
      <c r="AN34" s="305"/>
      <c r="AO34" s="305"/>
      <c r="AP34" s="305"/>
      <c r="AQ34" s="355">
        <v>1</v>
      </c>
    </row>
    <row r="35" spans="1:43" ht="15" customHeight="1">
      <c r="Q35" s="313"/>
      <c r="R35" s="313"/>
      <c r="S35" s="1202"/>
      <c r="T35" s="300"/>
      <c r="U35" s="1171"/>
      <c r="V35" s="2908"/>
      <c r="W35" s="2908"/>
      <c r="X35" s="2908"/>
      <c r="Y35" s="2908"/>
      <c r="Z35" s="2908"/>
      <c r="AA35" s="2908"/>
      <c r="AB35" s="2908"/>
      <c r="AC35" s="2908"/>
      <c r="AD35" s="2908"/>
      <c r="AE35" s="2908"/>
      <c r="AF35" s="2908"/>
      <c r="AG35" s="2908"/>
      <c r="AH35" s="2908"/>
      <c r="AI35" s="2908"/>
      <c r="AQ35" s="1082">
        <v>14</v>
      </c>
    </row>
    <row r="36" spans="1:43" ht="15" customHeight="1">
      <c r="Q36" s="313"/>
      <c r="R36" s="313"/>
      <c r="S36" s="2758" t="s">
        <v>345</v>
      </c>
      <c r="T36" s="2758"/>
      <c r="U36" s="2758"/>
      <c r="V36" s="2758"/>
      <c r="W36" s="2758"/>
      <c r="X36" s="2758"/>
      <c r="Y36" s="2758"/>
      <c r="Z36" s="2758"/>
      <c r="AA36" s="2758"/>
      <c r="AB36" s="2758"/>
      <c r="AC36" s="2758"/>
      <c r="AD36" s="2758"/>
      <c r="AE36" s="2758"/>
      <c r="AF36" s="2758"/>
      <c r="AG36" s="2758"/>
      <c r="AH36" s="2758"/>
      <c r="AI36" s="2758"/>
      <c r="AJ36" s="2758"/>
      <c r="AK36" s="2758" t="s">
        <v>346</v>
      </c>
      <c r="AQ36" s="1082">
        <v>14</v>
      </c>
    </row>
    <row r="37" spans="1:43" ht="15" customHeight="1">
      <c r="Q37" s="313"/>
      <c r="R37" s="313"/>
      <c r="S37" s="2909" t="s">
        <v>93</v>
      </c>
      <c r="T37" s="2857" t="s">
        <v>470</v>
      </c>
      <c r="U37" s="239"/>
      <c r="V37" s="2910" t="s">
        <v>471</v>
      </c>
      <c r="W37" s="2911"/>
      <c r="X37" s="2911"/>
      <c r="Y37" s="2911"/>
      <c r="Z37" s="2911"/>
      <c r="AA37" s="2912"/>
      <c r="AB37" s="2913" t="s">
        <v>472</v>
      </c>
      <c r="AC37" s="2910" t="s">
        <v>471</v>
      </c>
      <c r="AD37" s="2911"/>
      <c r="AE37" s="2911"/>
      <c r="AF37" s="2911"/>
      <c r="AG37" s="2911"/>
      <c r="AH37" s="2912"/>
      <c r="AI37" s="2913" t="s">
        <v>473</v>
      </c>
      <c r="AJ37" s="2916" t="s">
        <v>474</v>
      </c>
      <c r="AK37" s="2758"/>
      <c r="AQ37" s="1082">
        <v>14</v>
      </c>
    </row>
    <row r="38" spans="1:43" ht="36" customHeight="1">
      <c r="Q38" s="313"/>
      <c r="R38" s="313"/>
      <c r="S38" s="2909"/>
      <c r="T38" s="2857"/>
      <c r="U38" s="961"/>
      <c r="V38" s="1379" t="s">
        <v>535</v>
      </c>
      <c r="W38" s="2740" t="s">
        <v>477</v>
      </c>
      <c r="X38" s="2739"/>
      <c r="Y38" s="2740" t="s">
        <v>478</v>
      </c>
      <c r="Z38" s="2745"/>
      <c r="AA38" s="2739"/>
      <c r="AB38" s="2914"/>
      <c r="AC38" s="1379" t="s">
        <v>535</v>
      </c>
      <c r="AD38" s="2740" t="s">
        <v>477</v>
      </c>
      <c r="AE38" s="2739"/>
      <c r="AF38" s="2740" t="s">
        <v>478</v>
      </c>
      <c r="AG38" s="2745"/>
      <c r="AH38" s="2739"/>
      <c r="AI38" s="2914"/>
      <c r="AJ38" s="2917"/>
      <c r="AK38" s="2758"/>
      <c r="AQ38" s="1082">
        <v>34</v>
      </c>
    </row>
    <row r="39" spans="1:43" ht="36" customHeight="1">
      <c r="A39" s="1297"/>
      <c r="B39" s="1297" t="s">
        <v>140</v>
      </c>
      <c r="C39" s="1297" t="s">
        <v>141</v>
      </c>
      <c r="D39" s="1297" t="s">
        <v>142</v>
      </c>
      <c r="E39" s="1291" t="s">
        <v>479</v>
      </c>
      <c r="F39" s="1291" t="s">
        <v>480</v>
      </c>
      <c r="G39" s="1291" t="s">
        <v>481</v>
      </c>
      <c r="H39" s="1291"/>
      <c r="I39" s="1291" t="s">
        <v>536</v>
      </c>
      <c r="J39" s="1291" t="s">
        <v>484</v>
      </c>
      <c r="K39" s="1291" t="s">
        <v>537</v>
      </c>
      <c r="L39" s="1291" t="s">
        <v>460</v>
      </c>
      <c r="Q39" s="313"/>
      <c r="R39" s="313"/>
      <c r="S39" s="2909"/>
      <c r="T39" s="2857"/>
      <c r="U39" s="240"/>
      <c r="V39" s="1379" t="s">
        <v>538</v>
      </c>
      <c r="W39" s="1149" t="s">
        <v>539</v>
      </c>
      <c r="X39" s="1149" t="s">
        <v>540</v>
      </c>
      <c r="Y39" s="1382" t="s">
        <v>488</v>
      </c>
      <c r="Z39" s="2862" t="s">
        <v>489</v>
      </c>
      <c r="AA39" s="2876"/>
      <c r="AB39" s="2915"/>
      <c r="AC39" s="1379" t="s">
        <v>538</v>
      </c>
      <c r="AD39" s="1149" t="s">
        <v>539</v>
      </c>
      <c r="AE39" s="1149" t="s">
        <v>540</v>
      </c>
      <c r="AF39" s="1382" t="s">
        <v>488</v>
      </c>
      <c r="AG39" s="2862" t="s">
        <v>489</v>
      </c>
      <c r="AH39" s="2876"/>
      <c r="AI39" s="2915"/>
      <c r="AJ39" s="2918"/>
      <c r="AK39" s="275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114</v>
      </c>
      <c r="T40" s="1182" t="s">
        <v>115</v>
      </c>
      <c r="U40" s="1172" t="str">
        <f ca="1">OFFSET(U40,0,-1)</f>
        <v>2</v>
      </c>
      <c r="V40" s="1378">
        <f ca="1">OFFSET(V40,0,-1)+1</f>
        <v>3</v>
      </c>
      <c r="W40" s="1378">
        <f ca="1">OFFSET(W40,0,-1)+1</f>
        <v>4</v>
      </c>
      <c r="X40" s="1378">
        <f ca="1">OFFSET(X40,0,-1)+1</f>
        <v>5</v>
      </c>
      <c r="Y40" s="1378">
        <f ca="1">OFFSET(Y40,0,-1)+1</f>
        <v>6</v>
      </c>
      <c r="Z40" s="2907">
        <f ca="1">OFFSET(Z40,0,-1)+1</f>
        <v>7</v>
      </c>
      <c r="AA40" s="2907"/>
      <c r="AB40" s="1378">
        <f ca="1">OFFSET(AB40,0,-2)+1</f>
        <v>8</v>
      </c>
      <c r="AC40" s="1378">
        <f ca="1">OFFSET(AC40,0,-1)+1</f>
        <v>9</v>
      </c>
      <c r="AD40" s="1378">
        <f ca="1">OFFSET(AD40,0,-1)+1</f>
        <v>10</v>
      </c>
      <c r="AE40" s="1378">
        <f ca="1">OFFSET(AE40,0,-1)+1</f>
        <v>11</v>
      </c>
      <c r="AF40" s="1378">
        <f ca="1">OFFSET(AF40,0,-1)+1</f>
        <v>12</v>
      </c>
      <c r="AG40" s="2907">
        <f ca="1">OFFSET(AG40,0,-1)+1</f>
        <v>13</v>
      </c>
      <c r="AH40" s="2907"/>
      <c r="AI40" s="1378">
        <f ca="1">OFFSET(AI40,0,-2)+1</f>
        <v>14</v>
      </c>
      <c r="AJ40" s="1172">
        <f ca="1">OFFSET(AJ40,0,-1)</f>
        <v>14</v>
      </c>
      <c r="AK40" s="1378">
        <f ca="1">OFFSET(AK40,0,-1)+1</f>
        <v>15</v>
      </c>
      <c r="AL40" s="448"/>
      <c r="AM40" s="448"/>
      <c r="AN40" s="448"/>
      <c r="AO40" s="448"/>
      <c r="AP40" s="448"/>
      <c r="AQ40" s="433">
        <v>0</v>
      </c>
    </row>
    <row r="41" spans="1:43" ht="24" customHeight="1">
      <c r="A41" s="1290" t="s">
        <v>281</v>
      </c>
      <c r="B41" s="1290"/>
      <c r="C41" s="1290"/>
      <c r="D41" s="1290"/>
      <c r="E41" s="289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128</v>
      </c>
      <c r="U41" s="238"/>
      <c r="V41" s="2890"/>
      <c r="W41" s="2891"/>
      <c r="X41" s="2891"/>
      <c r="Y41" s="2891"/>
      <c r="Z41" s="2891"/>
      <c r="AA41" s="2891"/>
      <c r="AB41" s="2892"/>
      <c r="AC41" s="2890" t="str">
        <f>INDEX(PT_DIFFERENTIATION_NTAR,MATCH(A41,PT_DIFFERENTIATION_NTAR_ID,0))</f>
        <v/>
      </c>
      <c r="AD41" s="2891"/>
      <c r="AE41" s="2891"/>
      <c r="AF41" s="2891"/>
      <c r="AG41" s="2891"/>
      <c r="AH41" s="2891"/>
      <c r="AI41" s="2891"/>
      <c r="AJ41" s="289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281</v>
      </c>
      <c r="B42" s="1290" t="s">
        <v>282</v>
      </c>
      <c r="C42" s="1290"/>
      <c r="D42" s="1290"/>
      <c r="E42" s="2897"/>
      <c r="F42" s="2896">
        <v>1</v>
      </c>
      <c r="G42" s="1290"/>
      <c r="H42" s="1290"/>
      <c r="I42" s="1290"/>
      <c r="J42" s="1290"/>
      <c r="K42" s="1290"/>
      <c r="L42" s="1291"/>
      <c r="M42" s="1292"/>
      <c r="N42" s="1292"/>
      <c r="O42" s="1292"/>
      <c r="P42" s="1380"/>
      <c r="Q42" s="289"/>
      <c r="R42" s="290"/>
      <c r="S42" s="1384" t="str">
        <f>INDEX(PT_DIFFERENTIATION_NUM_TER,MATCH(B42,PT_DIFFERENTIATION_TER_ID,0))</f>
        <v>.</v>
      </c>
      <c r="T42" s="246" t="s">
        <v>442</v>
      </c>
      <c r="U42" s="238"/>
      <c r="V42" s="2890"/>
      <c r="W42" s="2891"/>
      <c r="X42" s="2891"/>
      <c r="Y42" s="2891"/>
      <c r="Z42" s="2891"/>
      <c r="AA42" s="2891"/>
      <c r="AB42" s="2892"/>
      <c r="AC42" s="2890" t="str">
        <f>INDEX(PT_DIFFERENTIATION_TER,MATCH(B42,PT_DIFFERENTIATION_TER_ID,0))</f>
        <v/>
      </c>
      <c r="AD42" s="2891"/>
      <c r="AE42" s="2891"/>
      <c r="AF42" s="2891"/>
      <c r="AG42" s="2891"/>
      <c r="AH42" s="2891"/>
      <c r="AI42" s="2891"/>
      <c r="AJ42" s="2892"/>
      <c r="AK42" s="1185" t="s">
        <v>443</v>
      </c>
      <c r="AM42" s="437"/>
      <c r="AN42" s="437" t="str">
        <f t="shared" si="1"/>
        <v>Территория действия тарифа</v>
      </c>
      <c r="AO42" s="437"/>
      <c r="AP42" s="437"/>
      <c r="AQ42" s="1082">
        <v>23</v>
      </c>
    </row>
    <row r="43" spans="1:43" ht="24" customHeight="1">
      <c r="A43" s="1290" t="s">
        <v>281</v>
      </c>
      <c r="B43" s="1290" t="s">
        <v>282</v>
      </c>
      <c r="C43" s="1290" t="s">
        <v>283</v>
      </c>
      <c r="D43" s="1290"/>
      <c r="E43" s="2897"/>
      <c r="F43" s="2897"/>
      <c r="G43" s="2896">
        <v>1</v>
      </c>
      <c r="H43" s="1290"/>
      <c r="I43" s="1290"/>
      <c r="J43" s="1290"/>
      <c r="K43" s="1290"/>
      <c r="L43" s="1291"/>
      <c r="M43" s="1292"/>
      <c r="N43" s="1292"/>
      <c r="O43" s="1292"/>
      <c r="P43" s="291"/>
      <c r="Q43" s="289"/>
      <c r="R43" s="290"/>
      <c r="S43" s="1384" t="str">
        <f>INDEX(PT_DIFFERENTIATION_NUM_CS,MATCH(C43,PT_DIFFERENTIATION_CS_ID,0))</f>
        <v>..</v>
      </c>
      <c r="T43" s="247" t="s">
        <v>527</v>
      </c>
      <c r="U43" s="238"/>
      <c r="V43" s="2890"/>
      <c r="W43" s="2891"/>
      <c r="X43" s="2891"/>
      <c r="Y43" s="2891"/>
      <c r="Z43" s="2891"/>
      <c r="AA43" s="2891"/>
      <c r="AB43" s="2892"/>
      <c r="AC43" s="2890" t="str">
        <f>INDEX(PT_DIFFERENTIATION_CS,MATCH(C43,PT_DIFFERENTIATION_CS_ID,0))</f>
        <v/>
      </c>
      <c r="AD43" s="2891"/>
      <c r="AE43" s="2891"/>
      <c r="AF43" s="2891"/>
      <c r="AG43" s="2891"/>
      <c r="AH43" s="2891"/>
      <c r="AI43" s="2891"/>
      <c r="AJ43" s="2892"/>
      <c r="AK43" s="1185" t="s">
        <v>528</v>
      </c>
      <c r="AM43" s="437"/>
      <c r="AN43" s="437" t="str">
        <f t="shared" si="1"/>
        <v>Наименование централизованной системы холодного водоснабжения</v>
      </c>
      <c r="AO43" s="437"/>
      <c r="AP43" s="437"/>
      <c r="AQ43" s="1082">
        <v>23</v>
      </c>
    </row>
    <row r="44" spans="1:43" ht="24" customHeight="1">
      <c r="A44" s="1290" t="s">
        <v>281</v>
      </c>
      <c r="B44" s="1290" t="s">
        <v>282</v>
      </c>
      <c r="C44" s="1290" t="s">
        <v>283</v>
      </c>
      <c r="D44" s="1290" t="s">
        <v>543</v>
      </c>
      <c r="E44" s="2897"/>
      <c r="F44" s="2897"/>
      <c r="G44" s="2897"/>
      <c r="H44" s="2897"/>
      <c r="I44" s="2898" t="str">
        <f>S43&amp;".1"</f>
        <v>...1</v>
      </c>
      <c r="J44" s="1290"/>
      <c r="K44" s="1290"/>
      <c r="L44" s="1291"/>
      <c r="P44" s="2900">
        <v>1</v>
      </c>
      <c r="Q44" s="1377"/>
      <c r="R44" s="293"/>
      <c r="S44" s="1384" t="str">
        <f>$I44</f>
        <v>...1</v>
      </c>
      <c r="T44" s="223" t="s">
        <v>529</v>
      </c>
      <c r="U44" s="238"/>
      <c r="V44" s="2965"/>
      <c r="W44" s="2966"/>
      <c r="X44" s="2966"/>
      <c r="Y44" s="2966"/>
      <c r="Z44" s="2966"/>
      <c r="AA44" s="2966"/>
      <c r="AB44" s="2967"/>
      <c r="AC44" s="2968"/>
      <c r="AD44" s="2969"/>
      <c r="AE44" s="2969"/>
      <c r="AF44" s="2969"/>
      <c r="AG44" s="2969"/>
      <c r="AH44" s="2969"/>
      <c r="AI44" s="2969"/>
      <c r="AJ44" s="2970"/>
      <c r="AK44" s="1185" t="s">
        <v>530</v>
      </c>
      <c r="AM44" s="437"/>
      <c r="AN44" s="437" t="str">
        <f t="shared" si="1"/>
        <v>Наименование признака дифференциации</v>
      </c>
      <c r="AO44" s="437"/>
      <c r="AP44" s="437"/>
      <c r="AQ44" s="1082">
        <v>23</v>
      </c>
    </row>
    <row r="45" spans="1:43" ht="24" customHeight="1">
      <c r="A45" s="1290" t="s">
        <v>281</v>
      </c>
      <c r="B45" s="1290" t="s">
        <v>282</v>
      </c>
      <c r="C45" s="1290" t="s">
        <v>283</v>
      </c>
      <c r="D45" s="1290" t="s">
        <v>543</v>
      </c>
      <c r="E45" s="2897"/>
      <c r="F45" s="2897"/>
      <c r="G45" s="2897"/>
      <c r="H45" s="2897"/>
      <c r="I45" s="2899"/>
      <c r="J45" s="2898" t="str">
        <f>I44&amp;".1"</f>
        <v>...1.1</v>
      </c>
      <c r="K45" s="1290"/>
      <c r="L45" s="1291" t="s">
        <v>451</v>
      </c>
      <c r="P45" s="2900"/>
      <c r="Q45" s="2900">
        <v>1</v>
      </c>
      <c r="R45" s="294"/>
      <c r="S45" s="1384" t="str">
        <f>$J45</f>
        <v>...1.1</v>
      </c>
      <c r="T45" s="224" t="s">
        <v>452</v>
      </c>
      <c r="U45" s="238"/>
      <c r="V45" s="2884"/>
      <c r="W45" s="2885"/>
      <c r="X45" s="2885"/>
      <c r="Y45" s="2885"/>
      <c r="Z45" s="2885"/>
      <c r="AA45" s="2885"/>
      <c r="AB45" s="2886"/>
      <c r="AC45" s="2884"/>
      <c r="AD45" s="2885"/>
      <c r="AE45" s="2885"/>
      <c r="AF45" s="2885"/>
      <c r="AG45" s="2885"/>
      <c r="AH45" s="2885"/>
      <c r="AI45" s="2885"/>
      <c r="AJ45" s="2886"/>
      <c r="AK45" s="1234" t="s">
        <v>531</v>
      </c>
      <c r="AM45" s="437"/>
      <c r="AN45" s="437" t="str">
        <f t="shared" si="1"/>
        <v>Группа потребителей</v>
      </c>
      <c r="AO45" s="437"/>
      <c r="AP45" s="437"/>
      <c r="AQ45" s="1082">
        <v>23</v>
      </c>
    </row>
    <row r="46" spans="1:43" ht="24" customHeight="1">
      <c r="A46" s="1290" t="s">
        <v>281</v>
      </c>
      <c r="B46" s="1290" t="s">
        <v>282</v>
      </c>
      <c r="C46" s="1290" t="s">
        <v>283</v>
      </c>
      <c r="D46" s="1290" t="s">
        <v>543</v>
      </c>
      <c r="E46" s="2897"/>
      <c r="F46" s="2897"/>
      <c r="G46" s="2897"/>
      <c r="H46" s="2897"/>
      <c r="I46" s="2899"/>
      <c r="J46" s="2899"/>
      <c r="K46" s="2898" t="str">
        <f>J45&amp;".1"</f>
        <v>...1.1.1</v>
      </c>
      <c r="L46" s="1291"/>
      <c r="P46" s="2900"/>
      <c r="Q46" s="2900"/>
      <c r="R46" s="294">
        <v>1</v>
      </c>
      <c r="S46" s="1384" t="str">
        <f>$K46</f>
        <v>...1.1.1</v>
      </c>
      <c r="T46" s="1364"/>
      <c r="U46" s="238"/>
      <c r="V46" s="688"/>
      <c r="W46" s="688"/>
      <c r="X46" s="1184"/>
      <c r="Y46" s="2901"/>
      <c r="Z46" s="2768" t="s">
        <v>71</v>
      </c>
      <c r="AA46" s="2901"/>
      <c r="AB46" s="2768" t="s">
        <v>71</v>
      </c>
      <c r="AC46" s="688"/>
      <c r="AD46" s="688"/>
      <c r="AE46" s="1184"/>
      <c r="AF46" s="2901"/>
      <c r="AG46" s="2768" t="s">
        <v>71</v>
      </c>
      <c r="AH46" s="2903"/>
      <c r="AI46" s="2768" t="s">
        <v>71</v>
      </c>
      <c r="AJ46" s="1365"/>
      <c r="AK46" s="29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281</v>
      </c>
      <c r="B47" s="1290" t="s">
        <v>282</v>
      </c>
      <c r="C47" s="1290" t="s">
        <v>283</v>
      </c>
      <c r="D47" s="1290" t="s">
        <v>543</v>
      </c>
      <c r="E47" s="2897"/>
      <c r="F47" s="2897"/>
      <c r="G47" s="2897"/>
      <c r="H47" s="2897"/>
      <c r="I47" s="2899"/>
      <c r="J47" s="2899"/>
      <c r="K47" s="2898"/>
      <c r="L47" s="1291"/>
      <c r="P47" s="2900"/>
      <c r="Q47" s="2900"/>
      <c r="R47" s="294"/>
      <c r="S47" s="1383"/>
      <c r="T47" s="238"/>
      <c r="U47" s="238"/>
      <c r="V47" s="263"/>
      <c r="W47" s="263"/>
      <c r="X47" s="266" t="str">
        <f>Y46&amp;"-"&amp;AA46</f>
        <v>-</v>
      </c>
      <c r="Y47" s="2902"/>
      <c r="Z47" s="2768"/>
      <c r="AA47" s="2902"/>
      <c r="AB47" s="2768"/>
      <c r="AC47" s="263"/>
      <c r="AD47" s="263"/>
      <c r="AE47" s="266" t="str">
        <f>AF46&amp;"-"&amp;AH46</f>
        <v>-</v>
      </c>
      <c r="AF47" s="2902"/>
      <c r="AG47" s="2768"/>
      <c r="AH47" s="2904"/>
      <c r="AI47" s="2768"/>
      <c r="AJ47" s="1366"/>
      <c r="AK47" s="2971"/>
      <c r="AM47" s="437"/>
      <c r="AN47" s="437" t="str">
        <f t="shared" si="1"/>
        <v/>
      </c>
      <c r="AO47" s="437"/>
      <c r="AP47" s="437"/>
      <c r="AQ47" s="1082">
        <v>0</v>
      </c>
    </row>
    <row r="48" spans="1:43" ht="21" customHeight="1">
      <c r="A48" s="1290" t="s">
        <v>281</v>
      </c>
      <c r="B48" s="1290" t="s">
        <v>282</v>
      </c>
      <c r="C48" s="1290" t="s">
        <v>283</v>
      </c>
      <c r="D48" s="1290" t="s">
        <v>543</v>
      </c>
      <c r="E48" s="2897"/>
      <c r="F48" s="2897"/>
      <c r="G48" s="2897"/>
      <c r="H48" s="2897"/>
      <c r="I48" s="2899"/>
      <c r="J48" s="2898"/>
      <c r="K48" s="1290"/>
      <c r="L48" s="1291"/>
      <c r="P48" s="2900"/>
      <c r="Q48" s="2900"/>
      <c r="R48" s="293"/>
      <c r="S48" s="1205"/>
      <c r="T48" s="225" t="s">
        <v>532</v>
      </c>
      <c r="U48" s="304"/>
      <c r="V48" s="304"/>
      <c r="W48" s="304"/>
      <c r="X48" s="304"/>
      <c r="Y48" s="304"/>
      <c r="Z48" s="304"/>
      <c r="AA48" s="304"/>
      <c r="AB48" s="304"/>
      <c r="AC48" s="304"/>
      <c r="AD48" s="304"/>
      <c r="AE48" s="304"/>
      <c r="AF48" s="304"/>
      <c r="AG48" s="304"/>
      <c r="AH48" s="304"/>
      <c r="AI48" s="304"/>
      <c r="AJ48" s="304"/>
      <c r="AK48" s="1185" t="s">
        <v>533</v>
      </c>
      <c r="AM48" s="437"/>
      <c r="AN48" s="437" t="str">
        <f t="shared" si="1"/>
        <v>Добавить значение признака дифференциации</v>
      </c>
      <c r="AO48" s="437"/>
      <c r="AP48" s="437"/>
      <c r="AQ48" s="1082">
        <v>20</v>
      </c>
    </row>
    <row r="49" spans="1:43" ht="21.75" customHeight="1">
      <c r="A49" s="1290" t="s">
        <v>281</v>
      </c>
      <c r="B49" s="1290" t="s">
        <v>282</v>
      </c>
      <c r="C49" s="1290" t="s">
        <v>283</v>
      </c>
      <c r="D49" s="1290" t="s">
        <v>543</v>
      </c>
      <c r="E49" s="2897"/>
      <c r="F49" s="2897"/>
      <c r="G49" s="2897"/>
      <c r="H49" s="2897"/>
      <c r="I49" s="2898"/>
      <c r="J49" s="1290"/>
      <c r="K49" s="1290"/>
      <c r="L49" s="1291"/>
      <c r="P49" s="2900"/>
      <c r="Q49" s="1377"/>
      <c r="R49" s="293"/>
      <c r="S49" s="1205"/>
      <c r="T49" s="302" t="s">
        <v>457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75" customHeight="1">
      <c r="A50" s="1290" t="s">
        <v>281</v>
      </c>
      <c r="B50" s="1290" t="s">
        <v>282</v>
      </c>
      <c r="C50" s="1290" t="s">
        <v>283</v>
      </c>
      <c r="D50" s="1290" t="s">
        <v>543</v>
      </c>
      <c r="E50" s="2897"/>
      <c r="F50" s="2897"/>
      <c r="G50" s="2897"/>
      <c r="H50" s="2896"/>
      <c r="I50" s="1290"/>
      <c r="J50" s="1290"/>
      <c r="K50" s="1290"/>
      <c r="L50" s="1291"/>
      <c r="M50" s="1292"/>
      <c r="N50" s="1292"/>
      <c r="O50" s="474"/>
      <c r="P50" s="297"/>
      <c r="Q50" s="312"/>
      <c r="R50" s="292"/>
      <c r="S50" s="1205"/>
      <c r="T50" s="309" t="s">
        <v>534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281</v>
      </c>
      <c r="B51" s="1270" t="s">
        <v>282</v>
      </c>
      <c r="C51" s="1241"/>
      <c r="D51" s="1241"/>
      <c r="E51" s="2897"/>
      <c r="F51" s="2896"/>
      <c r="G51" s="1241"/>
      <c r="H51" s="1241"/>
      <c r="I51" s="1241"/>
      <c r="J51" s="1241"/>
      <c r="K51" s="1241"/>
      <c r="L51" s="1385"/>
      <c r="M51" s="1248"/>
      <c r="N51" s="1248"/>
      <c r="P51" s="1243"/>
      <c r="Q51" s="1244"/>
      <c r="R51" s="1243"/>
      <c r="S51" s="1249"/>
      <c r="T51" s="1252" t="s">
        <v>176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281</v>
      </c>
      <c r="B52" s="1270"/>
      <c r="C52" s="1270"/>
      <c r="D52" s="1270"/>
      <c r="E52" s="2896"/>
      <c r="F52" s="1270"/>
      <c r="G52" s="1270"/>
      <c r="H52" s="1270"/>
      <c r="I52" s="1270"/>
      <c r="J52" s="1270"/>
      <c r="K52" s="1270"/>
      <c r="L52" s="1273"/>
      <c r="M52" s="1248"/>
      <c r="N52" s="1248"/>
      <c r="O52" s="455"/>
      <c r="P52" s="317"/>
      <c r="Q52" s="1271"/>
      <c r="R52" s="317"/>
      <c r="S52" s="1249"/>
      <c r="T52" s="1252" t="s">
        <v>178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25" customHeight="1">
      <c r="M54" s="1087"/>
      <c r="N54" s="1087"/>
      <c r="O54" s="474"/>
      <c r="P54" s="1082"/>
      <c r="Q54" s="1082"/>
      <c r="R54" s="1082"/>
      <c r="S54" s="1082"/>
      <c r="AL54" s="1082"/>
      <c r="AM54" s="1082"/>
      <c r="AN54" s="1082"/>
      <c r="AO54" s="1082"/>
      <c r="AP54" s="1082"/>
      <c r="AQ54" s="1082">
        <v>11</v>
      </c>
    </row>
    <row r="55" spans="1:43" ht="15" customHeight="1">
      <c r="O55" s="474"/>
      <c r="S55" s="1180"/>
      <c r="T55" s="2895"/>
      <c r="U55" s="2895"/>
      <c r="V55" s="2895"/>
      <c r="W55" s="2895"/>
      <c r="X55" s="2895"/>
      <c r="Y55" s="2895"/>
      <c r="Z55" s="2895"/>
      <c r="AA55" s="2895"/>
      <c r="AB55" s="2895"/>
      <c r="AC55" s="2895"/>
      <c r="AD55" s="2895"/>
      <c r="AE55" s="2895"/>
      <c r="AF55" s="2895"/>
      <c r="AG55" s="2895"/>
      <c r="AH55" s="2895"/>
      <c r="AI55" s="2895"/>
      <c r="AJ55" s="2895"/>
      <c r="AK55" s="2895"/>
      <c r="AQ55" s="1082">
        <v>14</v>
      </c>
    </row>
    <row r="56" spans="1:43" ht="15" customHeight="1">
      <c r="O56" s="474"/>
      <c r="AQ56" s="1082">
        <v>14</v>
      </c>
    </row>
    <row r="57" spans="1:43" ht="15" customHeight="1">
      <c r="O57" s="474"/>
      <c r="S57" s="1180"/>
      <c r="T57" s="2895"/>
      <c r="U57" s="2895"/>
      <c r="V57" s="2895"/>
      <c r="W57" s="2895"/>
      <c r="X57" s="2895"/>
      <c r="Y57" s="2895"/>
      <c r="Z57" s="2895"/>
      <c r="AA57" s="2895"/>
      <c r="AB57" s="2895"/>
      <c r="AC57" s="2895"/>
      <c r="AD57" s="2895"/>
      <c r="AE57" s="2895"/>
      <c r="AF57" s="2895"/>
      <c r="AG57" s="2895"/>
      <c r="AH57" s="2895"/>
      <c r="AI57" s="2895"/>
      <c r="AJ57" s="2895"/>
      <c r="AK57" s="2895"/>
      <c r="AQ57" s="1082">
        <v>14</v>
      </c>
    </row>
    <row r="58" spans="1:43" ht="22.5" hidden="1" customHeight="1">
      <c r="A58" s="1087" t="s">
        <v>87</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896">
        <v>1</v>
      </c>
      <c r="F2" s="1290"/>
      <c r="G2" s="1290"/>
      <c r="H2" s="1290"/>
      <c r="I2" s="1290"/>
      <c r="J2" s="1290"/>
      <c r="K2" s="1290"/>
      <c r="L2" s="1291"/>
      <c r="M2" s="1292"/>
      <c r="N2" s="1292"/>
      <c r="O2" s="1292"/>
      <c r="P2" s="298"/>
      <c r="Q2" s="297"/>
      <c r="R2" s="292"/>
      <c r="S2" s="1384" t="e">
        <f>INDEX(PT_DIFFERENTIATION_NUM_NTAR,MATCH(A2,PT_DIFFERENTIATION_NTAR_ID,0))</f>
        <v>#N/A</v>
      </c>
      <c r="T2" s="236" t="s">
        <v>128</v>
      </c>
      <c r="U2" s="238"/>
      <c r="V2" s="2890"/>
      <c r="W2" s="2891"/>
      <c r="X2" s="2891"/>
      <c r="Y2" s="2891"/>
      <c r="Z2" s="2891"/>
      <c r="AA2" s="2891"/>
      <c r="AB2" s="2892"/>
      <c r="AC2" s="2890" t="e">
        <f>INDEX(PT_DIFFERENTIATION_NTAR,MATCH(A2,PT_DIFFERENTIATION_NTAR_ID,0))</f>
        <v>#N/A</v>
      </c>
      <c r="AD2" s="2891"/>
      <c r="AE2" s="2891"/>
      <c r="AF2" s="2891"/>
      <c r="AG2" s="2891"/>
      <c r="AH2" s="2891"/>
      <c r="AI2" s="2891"/>
      <c r="AJ2" s="289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97"/>
      <c r="F3" s="2896">
        <v>1</v>
      </c>
      <c r="G3" s="1290"/>
      <c r="H3" s="1290"/>
      <c r="I3" s="1290"/>
      <c r="J3" s="1290"/>
      <c r="K3" s="1290"/>
      <c r="L3" s="1291"/>
      <c r="M3" s="1292"/>
      <c r="N3" s="1292"/>
      <c r="O3" s="1292"/>
      <c r="P3" s="1380"/>
      <c r="Q3" s="289"/>
      <c r="R3" s="290"/>
      <c r="S3" s="1384" t="e">
        <f>INDEX(PT_DIFFERENTIATION_NUM_TER,MATCH(B3,PT_DIFFERENTIATION_TER_ID,0))</f>
        <v>#N/A</v>
      </c>
      <c r="T3" s="246" t="s">
        <v>442</v>
      </c>
      <c r="U3" s="238"/>
      <c r="V3" s="2890"/>
      <c r="W3" s="2891"/>
      <c r="X3" s="2891"/>
      <c r="Y3" s="2891"/>
      <c r="Z3" s="2891"/>
      <c r="AA3" s="2891"/>
      <c r="AB3" s="2892"/>
      <c r="AC3" s="2890" t="e">
        <f>INDEX(PT_DIFFERENTIATION_TER,MATCH(B3,PT_DIFFERENTIATION_TER_ID,0))</f>
        <v>#N/A</v>
      </c>
      <c r="AD3" s="2891"/>
      <c r="AE3" s="2891"/>
      <c r="AF3" s="2891"/>
      <c r="AG3" s="2891"/>
      <c r="AH3" s="2891"/>
      <c r="AI3" s="2891"/>
      <c r="AJ3" s="2892"/>
      <c r="AK3" s="1185" t="s">
        <v>443</v>
      </c>
      <c r="AM3" s="437"/>
      <c r="AN3" s="437" t="str">
        <f t="shared" si="0"/>
        <v>Территория действия тарифа</v>
      </c>
      <c r="AO3" s="437"/>
      <c r="AP3" s="437"/>
      <c r="AQ3" s="1082">
        <v>0</v>
      </c>
    </row>
    <row r="4" spans="1:43" ht="23.25" hidden="1" customHeight="1">
      <c r="A4" s="1290"/>
      <c r="B4" s="1290"/>
      <c r="C4" s="1290"/>
      <c r="D4" s="1290"/>
      <c r="E4" s="2897"/>
      <c r="F4" s="2897"/>
      <c r="G4" s="2896">
        <v>1</v>
      </c>
      <c r="H4" s="1290"/>
      <c r="I4" s="1290"/>
      <c r="J4" s="1290"/>
      <c r="K4" s="1290"/>
      <c r="L4" s="1291"/>
      <c r="M4" s="1292"/>
      <c r="N4" s="1292"/>
      <c r="O4" s="1292"/>
      <c r="P4" s="291"/>
      <c r="Q4" s="289"/>
      <c r="R4" s="290"/>
      <c r="S4" s="1384" t="e">
        <f>INDEX(PT_DIFFERENTIATION_NUM_CS,MATCH(C4,PT_DIFFERENTIATION_CS_ID,0))</f>
        <v>#N/A</v>
      </c>
      <c r="T4" s="247" t="s">
        <v>527</v>
      </c>
      <c r="U4" s="238"/>
      <c r="V4" s="2890"/>
      <c r="W4" s="2891"/>
      <c r="X4" s="2891"/>
      <c r="Y4" s="2891"/>
      <c r="Z4" s="2891"/>
      <c r="AA4" s="2891"/>
      <c r="AB4" s="2892"/>
      <c r="AC4" s="2890" t="e">
        <f>INDEX(PT_DIFFERENTIATION_CS,MATCH(C4,PT_DIFFERENTIATION_CS_ID,0))</f>
        <v>#N/A</v>
      </c>
      <c r="AD4" s="2891"/>
      <c r="AE4" s="2891"/>
      <c r="AF4" s="2891"/>
      <c r="AG4" s="2891"/>
      <c r="AH4" s="2891"/>
      <c r="AI4" s="2891"/>
      <c r="AJ4" s="2892"/>
      <c r="AK4" s="1185" t="s">
        <v>528</v>
      </c>
      <c r="AM4" s="437"/>
      <c r="AN4" s="437" t="str">
        <f t="shared" si="0"/>
        <v>Наименование централизованной системы холодного водоснабжения</v>
      </c>
      <c r="AO4" s="437"/>
      <c r="AP4" s="437"/>
      <c r="AQ4" s="1082">
        <v>0</v>
      </c>
    </row>
    <row r="5" spans="1:43" ht="23.25" hidden="1" customHeight="1">
      <c r="A5" s="1290"/>
      <c r="B5" s="1290"/>
      <c r="C5" s="1290"/>
      <c r="D5" s="1290"/>
      <c r="E5" s="2897"/>
      <c r="F5" s="2897"/>
      <c r="G5" s="2897"/>
      <c r="H5" s="2897"/>
      <c r="I5" s="2898" t="e">
        <f>S4&amp;".1"</f>
        <v>#N/A</v>
      </c>
      <c r="J5" s="1290"/>
      <c r="K5" s="1290"/>
      <c r="L5" s="1291"/>
      <c r="P5" s="2900">
        <v>1</v>
      </c>
      <c r="Q5" s="1377"/>
      <c r="R5" s="293"/>
      <c r="S5" s="1384" t="e">
        <f>$I5</f>
        <v>#N/A</v>
      </c>
      <c r="T5" s="223" t="s">
        <v>529</v>
      </c>
      <c r="U5" s="238"/>
      <c r="V5" s="2965"/>
      <c r="W5" s="2966"/>
      <c r="X5" s="2966"/>
      <c r="Y5" s="2966"/>
      <c r="Z5" s="2966"/>
      <c r="AA5" s="2966"/>
      <c r="AB5" s="2967"/>
      <c r="AC5" s="2968"/>
      <c r="AD5" s="2969"/>
      <c r="AE5" s="2969"/>
      <c r="AF5" s="2969"/>
      <c r="AG5" s="2969"/>
      <c r="AH5" s="2969"/>
      <c r="AI5" s="2969"/>
      <c r="AJ5" s="2970"/>
      <c r="AK5" s="1185" t="s">
        <v>530</v>
      </c>
      <c r="AM5" s="437"/>
      <c r="AN5" s="437" t="str">
        <f t="shared" si="0"/>
        <v>Наименование признака дифференциации</v>
      </c>
      <c r="AO5" s="437"/>
      <c r="AP5" s="437"/>
      <c r="AQ5" s="1082">
        <v>0</v>
      </c>
    </row>
    <row r="6" spans="1:43" ht="23.25" hidden="1" customHeight="1">
      <c r="A6" s="1290"/>
      <c r="B6" s="1290"/>
      <c r="C6" s="1290"/>
      <c r="D6" s="1290"/>
      <c r="E6" s="2897"/>
      <c r="F6" s="2897"/>
      <c r="G6" s="2897"/>
      <c r="H6" s="2897"/>
      <c r="I6" s="2899"/>
      <c r="J6" s="2898" t="e">
        <f>I5&amp;".1"</f>
        <v>#N/A</v>
      </c>
      <c r="K6" s="1290"/>
      <c r="L6" s="1291" t="s">
        <v>451</v>
      </c>
      <c r="P6" s="2900"/>
      <c r="Q6" s="2900">
        <v>1</v>
      </c>
      <c r="R6" s="294"/>
      <c r="S6" s="1384" t="e">
        <f>$J6</f>
        <v>#N/A</v>
      </c>
      <c r="T6" s="224" t="s">
        <v>452</v>
      </c>
      <c r="U6" s="238"/>
      <c r="V6" s="2884"/>
      <c r="W6" s="2885"/>
      <c r="X6" s="2885"/>
      <c r="Y6" s="2885"/>
      <c r="Z6" s="2885"/>
      <c r="AA6" s="2885"/>
      <c r="AB6" s="2886"/>
      <c r="AC6" s="2884"/>
      <c r="AD6" s="2885"/>
      <c r="AE6" s="2885"/>
      <c r="AF6" s="2885"/>
      <c r="AG6" s="2885"/>
      <c r="AH6" s="2885"/>
      <c r="AI6" s="2885"/>
      <c r="AJ6" s="2886"/>
      <c r="AK6" s="1234" t="s">
        <v>531</v>
      </c>
      <c r="AM6" s="437"/>
      <c r="AN6" s="437" t="str">
        <f t="shared" si="0"/>
        <v>Группа потребителей</v>
      </c>
      <c r="AO6" s="437"/>
      <c r="AP6" s="437"/>
      <c r="AQ6" s="1082">
        <v>0</v>
      </c>
    </row>
    <row r="7" spans="1:43" ht="23.25" hidden="1" customHeight="1">
      <c r="A7" s="1290"/>
      <c r="B7" s="1290"/>
      <c r="C7" s="1290"/>
      <c r="D7" s="1290"/>
      <c r="E7" s="2897"/>
      <c r="F7" s="2897"/>
      <c r="G7" s="2897"/>
      <c r="H7" s="2897"/>
      <c r="I7" s="2899"/>
      <c r="J7" s="2899"/>
      <c r="K7" s="2898" t="e">
        <f>J6&amp;".1"</f>
        <v>#N/A</v>
      </c>
      <c r="L7" s="1291"/>
      <c r="P7" s="2900"/>
      <c r="Q7" s="2900"/>
      <c r="R7" s="294">
        <v>1</v>
      </c>
      <c r="S7" s="1384" t="e">
        <f>$K7</f>
        <v>#N/A</v>
      </c>
      <c r="T7" s="1364"/>
      <c r="U7" s="238"/>
      <c r="V7" s="688"/>
      <c r="W7" s="688"/>
      <c r="X7" s="1184"/>
      <c r="Y7" s="2901"/>
      <c r="Z7" s="2768" t="s">
        <v>71</v>
      </c>
      <c r="AA7" s="2901"/>
      <c r="AB7" s="2768" t="s">
        <v>71</v>
      </c>
      <c r="AC7" s="688"/>
      <c r="AD7" s="688"/>
      <c r="AE7" s="1184"/>
      <c r="AF7" s="2901"/>
      <c r="AG7" s="2768" t="s">
        <v>71</v>
      </c>
      <c r="AH7" s="2903"/>
      <c r="AI7" s="2768" t="s">
        <v>71</v>
      </c>
      <c r="AJ7" s="1365"/>
      <c r="AK7" s="29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97"/>
      <c r="F8" s="2897"/>
      <c r="G8" s="2897"/>
      <c r="H8" s="2897"/>
      <c r="I8" s="2899"/>
      <c r="J8" s="2899"/>
      <c r="K8" s="2898"/>
      <c r="L8" s="1291"/>
      <c r="P8" s="2900"/>
      <c r="Q8" s="2900"/>
      <c r="R8" s="294"/>
      <c r="S8" s="1383"/>
      <c r="T8" s="238"/>
      <c r="U8" s="238"/>
      <c r="V8" s="263"/>
      <c r="W8" s="263"/>
      <c r="X8" s="266" t="str">
        <f>Y7&amp;"-"&amp;AA7</f>
        <v>-</v>
      </c>
      <c r="Y8" s="2902"/>
      <c r="Z8" s="2768"/>
      <c r="AA8" s="2902"/>
      <c r="AB8" s="2768"/>
      <c r="AC8" s="263"/>
      <c r="AD8" s="263"/>
      <c r="AE8" s="266" t="str">
        <f>AF7&amp;"-"&amp;AH7</f>
        <v>-</v>
      </c>
      <c r="AF8" s="2902"/>
      <c r="AG8" s="2768"/>
      <c r="AH8" s="2904"/>
      <c r="AI8" s="2768"/>
      <c r="AJ8" s="1366"/>
      <c r="AK8" s="2971"/>
      <c r="AM8" s="437"/>
      <c r="AN8" s="437" t="str">
        <f t="shared" si="0"/>
        <v/>
      </c>
      <c r="AO8" s="437"/>
      <c r="AP8" s="437"/>
      <c r="AQ8" s="1082">
        <v>0</v>
      </c>
    </row>
    <row r="9" spans="1:43" ht="21" hidden="1" customHeight="1">
      <c r="A9" s="1290"/>
      <c r="B9" s="1290"/>
      <c r="C9" s="1290"/>
      <c r="D9" s="1290"/>
      <c r="E9" s="2897"/>
      <c r="F9" s="2897"/>
      <c r="G9" s="2897"/>
      <c r="H9" s="2897"/>
      <c r="I9" s="2899"/>
      <c r="J9" s="2898"/>
      <c r="K9" s="1290"/>
      <c r="L9" s="1291"/>
      <c r="P9" s="2900"/>
      <c r="Q9" s="2900"/>
      <c r="R9" s="293"/>
      <c r="S9" s="1205"/>
      <c r="T9" s="225" t="s">
        <v>532</v>
      </c>
      <c r="U9" s="304"/>
      <c r="V9" s="304"/>
      <c r="W9" s="304"/>
      <c r="X9" s="304"/>
      <c r="Y9" s="304"/>
      <c r="Z9" s="304"/>
      <c r="AA9" s="304"/>
      <c r="AB9" s="304"/>
      <c r="AC9" s="304"/>
      <c r="AD9" s="304"/>
      <c r="AE9" s="304"/>
      <c r="AF9" s="304"/>
      <c r="AG9" s="304"/>
      <c r="AH9" s="304"/>
      <c r="AI9" s="304"/>
      <c r="AJ9" s="304"/>
      <c r="AK9" s="1185" t="s">
        <v>533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97"/>
      <c r="F10" s="2897"/>
      <c r="G10" s="2897"/>
      <c r="H10" s="2897"/>
      <c r="I10" s="2898"/>
      <c r="J10" s="1290"/>
      <c r="K10" s="1290"/>
      <c r="L10" s="1291"/>
      <c r="P10" s="2900"/>
      <c r="Q10" s="1377"/>
      <c r="R10" s="293"/>
      <c r="S10" s="1205"/>
      <c r="T10" s="302" t="s">
        <v>457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97"/>
      <c r="F11" s="2897"/>
      <c r="G11" s="2897"/>
      <c r="H11" s="2896"/>
      <c r="I11" s="1290"/>
      <c r="J11" s="1290"/>
      <c r="K11" s="1290"/>
      <c r="L11" s="1291"/>
      <c r="M11" s="1292"/>
      <c r="N11" s="1292"/>
      <c r="O11" s="474"/>
      <c r="P11" s="297"/>
      <c r="Q11" s="312"/>
      <c r="R11" s="292"/>
      <c r="S11" s="1205"/>
      <c r="T11" s="309" t="s">
        <v>534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97"/>
      <c r="F12" s="2896"/>
      <c r="G12" s="1241"/>
      <c r="H12" s="1241"/>
      <c r="I12" s="1241"/>
      <c r="J12" s="1241"/>
      <c r="K12" s="1241"/>
      <c r="L12" s="1385"/>
      <c r="M12" s="1248"/>
      <c r="N12" s="1248"/>
      <c r="P12" s="1243"/>
      <c r="Q12" s="1244"/>
      <c r="R12" s="1243"/>
      <c r="S12" s="1249"/>
      <c r="T12" s="1252" t="s">
        <v>176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96"/>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894"/>
      <c r="AG15" s="2893" t="s">
        <v>71</v>
      </c>
      <c r="AH15" s="2894"/>
      <c r="AI15" s="2893" t="s">
        <v>71</v>
      </c>
      <c r="AQ15" s="1082">
        <v>0</v>
      </c>
    </row>
    <row r="16" spans="1:43" ht="14.25" hidden="1" customHeight="1">
      <c r="AC16" s="1287"/>
      <c r="AD16" s="1287"/>
      <c r="AE16" s="266" t="str">
        <f>AF15&amp;"-"&amp;AH15</f>
        <v>-</v>
      </c>
      <c r="AF16" s="2893"/>
      <c r="AG16" s="2893"/>
      <c r="AH16" s="2893"/>
      <c r="AI16" s="2893"/>
      <c r="AQ16" s="1082">
        <v>0</v>
      </c>
    </row>
    <row r="17" spans="1:43" ht="14.25" hidden="1" customHeight="1">
      <c r="AI17" s="265"/>
      <c r="AQ17" s="1082">
        <v>0</v>
      </c>
    </row>
    <row r="18" spans="1:43" s="1293" customFormat="1" ht="22.5" hidden="1" customHeight="1">
      <c r="L18" s="1374"/>
      <c r="M18" s="1289"/>
      <c r="N18" s="1289"/>
      <c r="O18" s="1294" t="s">
        <v>459</v>
      </c>
      <c r="P18" s="1289"/>
      <c r="Q18" s="1298"/>
      <c r="R18" s="1298"/>
      <c r="S18" s="666"/>
      <c r="Y18" s="1294"/>
      <c r="AA18" s="1294"/>
      <c r="AF18" s="1294"/>
      <c r="AH18" s="1294"/>
      <c r="AL18" s="448"/>
      <c r="AM18" s="448"/>
      <c r="AN18" s="448"/>
      <c r="AO18" s="448"/>
      <c r="AP18" s="448"/>
      <c r="AQ18" s="1087">
        <v>0</v>
      </c>
    </row>
    <row r="19" spans="1:43" s="1293" customFormat="1" ht="14.25" hidden="1" customHeight="1">
      <c r="L19" s="1374"/>
      <c r="M19" s="1289"/>
      <c r="N19" s="1289"/>
      <c r="O19" s="1289"/>
      <c r="P19" s="1289"/>
      <c r="Q19" s="1298"/>
      <c r="R19" s="1298"/>
      <c r="S19" s="666"/>
      <c r="AL19" s="448"/>
      <c r="AM19" s="448"/>
      <c r="AN19" s="448"/>
      <c r="AO19" s="448"/>
      <c r="AP19" s="448"/>
      <c r="AQ19" s="1087">
        <v>0</v>
      </c>
    </row>
    <row r="20" spans="1:43" s="1293" customFormat="1" ht="12" hidden="1" customHeight="1">
      <c r="L20" s="1374"/>
      <c r="M20" s="1289"/>
      <c r="N20" s="1289"/>
      <c r="O20" s="1291" t="s">
        <v>460</v>
      </c>
      <c r="P20" s="1289"/>
      <c r="Q20" s="1369"/>
      <c r="R20" s="1369"/>
      <c r="S20" s="666"/>
      <c r="T20" s="1087" t="s">
        <v>461</v>
      </c>
      <c r="Z20" s="124" t="s">
        <v>462</v>
      </c>
      <c r="AB20" s="124" t="s">
        <v>463</v>
      </c>
      <c r="AC20" s="1087" t="s">
        <v>461</v>
      </c>
      <c r="AG20" s="124" t="s">
        <v>464</v>
      </c>
      <c r="AI20" s="124" t="s">
        <v>463</v>
      </c>
      <c r="AQ20" s="1087">
        <v>0</v>
      </c>
    </row>
    <row r="21" spans="1:43" ht="14.25" hidden="1" customHeight="1">
      <c r="O21" s="1291"/>
      <c r="AQ21" s="1082">
        <v>0</v>
      </c>
    </row>
    <row r="22" spans="1:43" ht="14.25" hidden="1" customHeight="1">
      <c r="O22" s="1291"/>
      <c r="AQ22" s="1082">
        <v>0</v>
      </c>
    </row>
    <row r="23" spans="1:43" ht="1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5" customHeight="1">
      <c r="Q24" s="313"/>
      <c r="R24" s="313"/>
      <c r="S24" s="2877" t="str">
        <f>IF(TEMPLATE_GROUP="P",PT_P_FORM_COLDVSNA_4_NAME_FORM,PT_R_FORM_COLDVSNA_16_NAME_FORM)</f>
        <v>Форма 13. Информация о предложении организации холодного водоснабжения об установлении расчетной величины тарифов в сфере холодного водоснабжения</v>
      </c>
      <c r="T24" s="2877"/>
      <c r="U24" s="2877"/>
      <c r="V24" s="2877"/>
      <c r="W24" s="2877"/>
      <c r="X24" s="2877"/>
      <c r="Y24" s="2877"/>
      <c r="Z24" s="2877"/>
      <c r="AA24" s="2877"/>
      <c r="AB24" s="2877"/>
      <c r="AC24" s="2877"/>
      <c r="AD24" s="2877"/>
      <c r="AE24" s="2877"/>
      <c r="AF24" s="2877"/>
      <c r="AG24" s="2877"/>
      <c r="AH24" s="2877"/>
      <c r="AI24" s="1170"/>
      <c r="AQ24" s="1082">
        <v>14</v>
      </c>
    </row>
    <row r="25" spans="1:43" ht="15" customHeight="1">
      <c r="Q25" s="313"/>
      <c r="R25" s="313"/>
      <c r="S25" s="2849" t="str">
        <f>IF(org=0,"Не определено",org)</f>
        <v>ТМУП "ТТС"</v>
      </c>
      <c r="T25" s="2849"/>
      <c r="U25" s="2849"/>
      <c r="V25" s="2849"/>
      <c r="W25" s="2849"/>
      <c r="X25" s="2849"/>
      <c r="Y25" s="2849"/>
      <c r="Z25" s="2849"/>
      <c r="AA25" s="2849"/>
      <c r="AB25" s="2849"/>
      <c r="AC25" s="2849"/>
      <c r="AD25" s="2849"/>
      <c r="AE25" s="2849"/>
      <c r="AF25" s="2849"/>
      <c r="AG25" s="2849"/>
      <c r="AH25" s="284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887" t="s">
        <v>46</v>
      </c>
      <c r="T27" s="2887"/>
      <c r="U27" s="1299"/>
      <c r="V27" s="2889" t="str">
        <f>IF(TITLE_NAME_OR_PR_CHANGE="",IF(TITLE_NAME_OR_PR="","",TITLE_NAME_OR_PR),TITLE_NAME_OR_PR_CHANGE)</f>
        <v/>
      </c>
      <c r="W27" s="2889"/>
      <c r="X27" s="2889"/>
      <c r="Y27" s="2889"/>
      <c r="Z27" s="2889"/>
      <c r="AA27" s="2889"/>
      <c r="AB27" s="264"/>
      <c r="AC27" s="2889" t="str">
        <f>IF(TITLE_NAME_OR_PR_CHANGE="",IF(TITLE_NAME_OR_PR="","",TITLE_NAME_OR_PR),TITLE_NAME_OR_PR_CHANGE)</f>
        <v/>
      </c>
      <c r="AD27" s="2889"/>
      <c r="AE27" s="2889"/>
      <c r="AF27" s="2889"/>
      <c r="AG27" s="2889"/>
      <c r="AH27" s="288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887" t="s">
        <v>465</v>
      </c>
      <c r="T28" s="2887"/>
      <c r="U28" s="1299"/>
      <c r="V28" s="2888" t="str">
        <f>IF(TITLE_DATE_PR_CHANGE="",IF(TITLE_DATE_PR="","",TITLE_DATE_PR),TITLE_DATE_PR_CHANGE)</f>
        <v>14.11.2024</v>
      </c>
      <c r="W28" s="2888"/>
      <c r="X28" s="2888"/>
      <c r="Y28" s="2888"/>
      <c r="Z28" s="2888"/>
      <c r="AA28" s="2888"/>
      <c r="AB28" s="264"/>
      <c r="AC28" s="2888" t="str">
        <f>IF(TITLE_DATE_PR_CHANGE="",IF(TITLE_DATE_PR="","",TITLE_DATE_PR),TITLE_DATE_PR_CHANGE)</f>
        <v>14.11.2024</v>
      </c>
      <c r="AD28" s="2888"/>
      <c r="AE28" s="2888"/>
      <c r="AF28" s="2888"/>
      <c r="AG28" s="2888"/>
      <c r="AH28" s="288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887" t="s">
        <v>466</v>
      </c>
      <c r="T29" s="2887"/>
      <c r="U29" s="1299"/>
      <c r="V29" s="2889" t="str">
        <f>IF(TITLE_NUMBER_PR_CHANGE="",IF(TITLE_NUMBER_PR="","",TITLE_NUMBER_PR),TITLE_NUMBER_PR_CHANGE)</f>
        <v>947 от 12.11.2024</v>
      </c>
      <c r="W29" s="2889"/>
      <c r="X29" s="2889"/>
      <c r="Y29" s="2889"/>
      <c r="Z29" s="2889"/>
      <c r="AA29" s="2889"/>
      <c r="AB29" s="264"/>
      <c r="AC29" s="2889" t="str">
        <f>IF(TITLE_NUMBER_PR_CHANGE="",IF(TITLE_NUMBER_PR="","",TITLE_NUMBER_PR),TITLE_NUMBER_PR_CHANGE)</f>
        <v>947 от 12.11.2024</v>
      </c>
      <c r="AD29" s="2889"/>
      <c r="AE29" s="2889"/>
      <c r="AF29" s="2889"/>
      <c r="AG29" s="2889"/>
      <c r="AH29" s="288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887" t="s">
        <v>47</v>
      </c>
      <c r="T30" s="2887"/>
      <c r="U30" s="1299"/>
      <c r="V30" s="2889" t="str">
        <f>IF(TITLE_IST_PUB_CHANGE="",IF(TITLE_IST_PUB="","",TITLE_IST_PUB),TITLE_IST_PUB_CHANGE)</f>
        <v/>
      </c>
      <c r="W30" s="2889"/>
      <c r="X30" s="2889"/>
      <c r="Y30" s="2889"/>
      <c r="Z30" s="2889"/>
      <c r="AA30" s="2889"/>
      <c r="AB30" s="264"/>
      <c r="AC30" s="2889" t="str">
        <f>IF(TITLE_IST_PUB_CHANGE="",IF(TITLE_IST_PUB="","",TITLE_IST_PUB),TITLE_IST_PUB_CHANGE)</f>
        <v/>
      </c>
      <c r="AD30" s="2889"/>
      <c r="AE30" s="2889"/>
      <c r="AF30" s="2889"/>
      <c r="AG30" s="2889"/>
      <c r="AH30" s="2889"/>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887" t="s">
        <v>467</v>
      </c>
      <c r="T32" s="2887"/>
      <c r="U32" s="1299"/>
      <c r="V32" s="2888" t="str">
        <f>IF(TITLE_DATE_PR_CHANGE="",IF(TITLE_DATE_PR="","",TITLE_DATE_PR),TITLE_DATE_PR_CHANGE)</f>
        <v>14.11.2024</v>
      </c>
      <c r="W32" s="2888"/>
      <c r="X32" s="2888"/>
      <c r="Y32" s="2888"/>
      <c r="Z32" s="2888"/>
      <c r="AA32" s="2888"/>
      <c r="AB32" s="264"/>
      <c r="AC32" s="2888" t="str">
        <f>IF(TITLE_DATE_PR_CHANGE="",IF(TITLE_DATE_PR="","",TITLE_DATE_PR),TITLE_DATE_PR_CHANGE)</f>
        <v>14.11.2024</v>
      </c>
      <c r="AD32" s="2888"/>
      <c r="AE32" s="2888"/>
      <c r="AF32" s="2888"/>
      <c r="AG32" s="2888"/>
      <c r="AH32" s="2888"/>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887" t="s">
        <v>468</v>
      </c>
      <c r="T33" s="2887"/>
      <c r="U33" s="1299"/>
      <c r="V33" s="2889" t="str">
        <f>IF(TITLE_NUMBER_PR_CHANGE="",IF(TITLE_NUMBER_PR="","",TITLE_NUMBER_PR),TITLE_NUMBER_PR_CHANGE)</f>
        <v>947 от 12.11.2024</v>
      </c>
      <c r="W33" s="2889"/>
      <c r="X33" s="2889"/>
      <c r="Y33" s="2889"/>
      <c r="Z33" s="2889"/>
      <c r="AA33" s="2889"/>
      <c r="AB33" s="264"/>
      <c r="AC33" s="2889" t="str">
        <f>IF(TITLE_NUMBER_PR_CHANGE="",IF(TITLE_NUMBER_PR="","",TITLE_NUMBER_PR),TITLE_NUMBER_PR_CHANGE)</f>
        <v>947 от 12.11.2024</v>
      </c>
      <c r="AD33" s="2889"/>
      <c r="AE33" s="2889"/>
      <c r="AF33" s="2889"/>
      <c r="AG33" s="2889"/>
      <c r="AH33" s="2889"/>
      <c r="AI33" s="264"/>
      <c r="AJ33" s="264"/>
      <c r="AK33" s="218"/>
      <c r="AL33" s="305"/>
      <c r="AM33" s="305"/>
      <c r="AN33" s="305"/>
      <c r="AO33" s="305"/>
      <c r="AP33" s="305"/>
      <c r="AQ33" s="355">
        <v>0</v>
      </c>
    </row>
    <row r="34" spans="1:43" s="1778" customFormat="1" ht="0.75" customHeight="1">
      <c r="A34" s="1295"/>
      <c r="B34" s="1295"/>
      <c r="C34" s="1295"/>
      <c r="D34" s="1295"/>
      <c r="E34" s="1295"/>
      <c r="F34" s="1295"/>
      <c r="G34" s="1295"/>
      <c r="H34" s="1295"/>
      <c r="I34" s="1295"/>
      <c r="J34" s="1295"/>
      <c r="K34" s="1295"/>
      <c r="L34" s="1296"/>
      <c r="M34" s="1295"/>
      <c r="N34" s="1295"/>
      <c r="O34" s="1295"/>
      <c r="S34" s="261"/>
      <c r="T34" s="261"/>
      <c r="U34" s="1381"/>
      <c r="V34" s="264"/>
      <c r="W34" s="264"/>
      <c r="X34" s="264"/>
      <c r="Y34" s="264"/>
      <c r="Z34" s="264"/>
      <c r="AA34" s="264"/>
      <c r="AB34" s="216" t="s">
        <v>469</v>
      </c>
      <c r="AC34" s="264"/>
      <c r="AD34" s="264"/>
      <c r="AE34" s="264"/>
      <c r="AF34" s="264"/>
      <c r="AG34" s="264"/>
      <c r="AH34" s="264"/>
      <c r="AI34" s="216" t="s">
        <v>469</v>
      </c>
      <c r="AL34" s="305"/>
      <c r="AM34" s="305"/>
      <c r="AN34" s="305"/>
      <c r="AO34" s="305"/>
      <c r="AP34" s="305"/>
      <c r="AQ34" s="355">
        <v>1</v>
      </c>
    </row>
    <row r="35" spans="1:43" ht="15" customHeight="1">
      <c r="Q35" s="313"/>
      <c r="R35" s="313"/>
      <c r="S35" s="1202"/>
      <c r="T35" s="300"/>
      <c r="U35" s="1171"/>
      <c r="V35" s="2908"/>
      <c r="W35" s="2908"/>
      <c r="X35" s="2908"/>
      <c r="Y35" s="2908"/>
      <c r="Z35" s="2908"/>
      <c r="AA35" s="2908"/>
      <c r="AB35" s="2908"/>
      <c r="AC35" s="2908"/>
      <c r="AD35" s="2908"/>
      <c r="AE35" s="2908"/>
      <c r="AF35" s="2908"/>
      <c r="AG35" s="2908"/>
      <c r="AH35" s="2908"/>
      <c r="AI35" s="2908"/>
      <c r="AQ35" s="1082">
        <v>14</v>
      </c>
    </row>
    <row r="36" spans="1:43" ht="15" customHeight="1">
      <c r="Q36" s="313"/>
      <c r="R36" s="313"/>
      <c r="S36" s="2758" t="s">
        <v>345</v>
      </c>
      <c r="T36" s="2758"/>
      <c r="U36" s="2758"/>
      <c r="V36" s="2758"/>
      <c r="W36" s="2758"/>
      <c r="X36" s="2758"/>
      <c r="Y36" s="2758"/>
      <c r="Z36" s="2758"/>
      <c r="AA36" s="2758"/>
      <c r="AB36" s="2758"/>
      <c r="AC36" s="2758"/>
      <c r="AD36" s="2758"/>
      <c r="AE36" s="2758"/>
      <c r="AF36" s="2758"/>
      <c r="AG36" s="2758"/>
      <c r="AH36" s="2758"/>
      <c r="AI36" s="2758"/>
      <c r="AJ36" s="2758"/>
      <c r="AK36" s="2758" t="s">
        <v>346</v>
      </c>
      <c r="AQ36" s="1082">
        <v>14</v>
      </c>
    </row>
    <row r="37" spans="1:43" ht="15" customHeight="1">
      <c r="Q37" s="313"/>
      <c r="R37" s="313"/>
      <c r="S37" s="2909" t="s">
        <v>93</v>
      </c>
      <c r="T37" s="2857" t="s">
        <v>470</v>
      </c>
      <c r="U37" s="239"/>
      <c r="V37" s="2910" t="s">
        <v>471</v>
      </c>
      <c r="W37" s="2911"/>
      <c r="X37" s="2911"/>
      <c r="Y37" s="2911"/>
      <c r="Z37" s="2911"/>
      <c r="AA37" s="2912"/>
      <c r="AB37" s="2913" t="s">
        <v>472</v>
      </c>
      <c r="AC37" s="2910" t="s">
        <v>471</v>
      </c>
      <c r="AD37" s="2911"/>
      <c r="AE37" s="2911"/>
      <c r="AF37" s="2911"/>
      <c r="AG37" s="2911"/>
      <c r="AH37" s="2912"/>
      <c r="AI37" s="2913" t="s">
        <v>473</v>
      </c>
      <c r="AJ37" s="2916" t="s">
        <v>474</v>
      </c>
      <c r="AK37" s="2758"/>
      <c r="AQ37" s="1082">
        <v>14</v>
      </c>
    </row>
    <row r="38" spans="1:43" ht="36" customHeight="1">
      <c r="Q38" s="313"/>
      <c r="R38" s="313"/>
      <c r="S38" s="2909"/>
      <c r="T38" s="2857"/>
      <c r="U38" s="961"/>
      <c r="V38" s="1379" t="s">
        <v>535</v>
      </c>
      <c r="W38" s="2740" t="s">
        <v>477</v>
      </c>
      <c r="X38" s="2739"/>
      <c r="Y38" s="2740" t="s">
        <v>478</v>
      </c>
      <c r="Z38" s="2745"/>
      <c r="AA38" s="2739"/>
      <c r="AB38" s="2914"/>
      <c r="AC38" s="1379" t="s">
        <v>535</v>
      </c>
      <c r="AD38" s="2740" t="s">
        <v>477</v>
      </c>
      <c r="AE38" s="2739"/>
      <c r="AF38" s="2740" t="s">
        <v>478</v>
      </c>
      <c r="AG38" s="2745"/>
      <c r="AH38" s="2739"/>
      <c r="AI38" s="2914"/>
      <c r="AJ38" s="2917"/>
      <c r="AK38" s="2758"/>
      <c r="AQ38" s="1082">
        <v>34</v>
      </c>
    </row>
    <row r="39" spans="1:43" ht="36" customHeight="1">
      <c r="A39" s="1297"/>
      <c r="B39" s="1297" t="s">
        <v>140</v>
      </c>
      <c r="C39" s="1297" t="s">
        <v>141</v>
      </c>
      <c r="D39" s="1297" t="s">
        <v>142</v>
      </c>
      <c r="E39" s="1291" t="s">
        <v>479</v>
      </c>
      <c r="F39" s="1291" t="s">
        <v>480</v>
      </c>
      <c r="G39" s="1291" t="s">
        <v>481</v>
      </c>
      <c r="H39" s="1291"/>
      <c r="I39" s="1291" t="s">
        <v>536</v>
      </c>
      <c r="J39" s="1291" t="s">
        <v>484</v>
      </c>
      <c r="K39" s="1291" t="s">
        <v>537</v>
      </c>
      <c r="L39" s="1291" t="s">
        <v>460</v>
      </c>
      <c r="Q39" s="313"/>
      <c r="R39" s="313"/>
      <c r="S39" s="2909"/>
      <c r="T39" s="2857"/>
      <c r="U39" s="240"/>
      <c r="V39" s="1379" t="s">
        <v>538</v>
      </c>
      <c r="W39" s="1149" t="s">
        <v>539</v>
      </c>
      <c r="X39" s="1149" t="s">
        <v>540</v>
      </c>
      <c r="Y39" s="1382" t="s">
        <v>488</v>
      </c>
      <c r="Z39" s="2862" t="s">
        <v>489</v>
      </c>
      <c r="AA39" s="2876"/>
      <c r="AB39" s="2915"/>
      <c r="AC39" s="1379" t="s">
        <v>538</v>
      </c>
      <c r="AD39" s="1149" t="s">
        <v>539</v>
      </c>
      <c r="AE39" s="1149" t="s">
        <v>540</v>
      </c>
      <c r="AF39" s="1382" t="s">
        <v>488</v>
      </c>
      <c r="AG39" s="2862" t="s">
        <v>489</v>
      </c>
      <c r="AH39" s="2876"/>
      <c r="AI39" s="2915"/>
      <c r="AJ39" s="2918"/>
      <c r="AK39" s="2758"/>
      <c r="AQ39" s="1082">
        <v>34</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114</v>
      </c>
      <c r="T40" s="1182" t="s">
        <v>115</v>
      </c>
      <c r="U40" s="1172" t="str">
        <f ca="1">OFFSET(U40,0,-1)</f>
        <v>2</v>
      </c>
      <c r="V40" s="1378">
        <f ca="1">OFFSET(V40,0,-1)+1</f>
        <v>3</v>
      </c>
      <c r="W40" s="1378">
        <f ca="1">OFFSET(W40,0,-1)+1</f>
        <v>4</v>
      </c>
      <c r="X40" s="1378">
        <f ca="1">OFFSET(X40,0,-1)+1</f>
        <v>5</v>
      </c>
      <c r="Y40" s="1378">
        <f ca="1">OFFSET(Y40,0,-1)+1</f>
        <v>6</v>
      </c>
      <c r="Z40" s="2907">
        <f ca="1">OFFSET(Z40,0,-1)+1</f>
        <v>7</v>
      </c>
      <c r="AA40" s="2907"/>
      <c r="AB40" s="1378">
        <f ca="1">OFFSET(AB40,0,-2)+1</f>
        <v>8</v>
      </c>
      <c r="AC40" s="1378">
        <f ca="1">OFFSET(AC40,0,-1)+1</f>
        <v>9</v>
      </c>
      <c r="AD40" s="1378">
        <f ca="1">OFFSET(AD40,0,-1)+1</f>
        <v>10</v>
      </c>
      <c r="AE40" s="1378">
        <f ca="1">OFFSET(AE40,0,-1)+1</f>
        <v>11</v>
      </c>
      <c r="AF40" s="1378">
        <f ca="1">OFFSET(AF40,0,-1)+1</f>
        <v>12</v>
      </c>
      <c r="AG40" s="2907">
        <f ca="1">OFFSET(AG40,0,-1)+1</f>
        <v>13</v>
      </c>
      <c r="AH40" s="2907"/>
      <c r="AI40" s="1378">
        <f ca="1">OFFSET(AI40,0,-2)+1</f>
        <v>14</v>
      </c>
      <c r="AJ40" s="1172">
        <f ca="1">OFFSET(AJ40,0,-1)</f>
        <v>14</v>
      </c>
      <c r="AK40" s="1378">
        <f ca="1">OFFSET(AK40,0,-1)+1</f>
        <v>15</v>
      </c>
      <c r="AL40" s="448"/>
      <c r="AM40" s="448"/>
      <c r="AN40" s="448"/>
      <c r="AO40" s="448"/>
      <c r="AP40" s="448"/>
      <c r="AQ40" s="433">
        <v>0</v>
      </c>
    </row>
    <row r="41" spans="1:43" ht="24" customHeight="1">
      <c r="A41" s="1290" t="s">
        <v>286</v>
      </c>
      <c r="B41" s="1290"/>
      <c r="C41" s="1290"/>
      <c r="D41" s="1290"/>
      <c r="E41" s="2896">
        <v>1</v>
      </c>
      <c r="F41" s="1290"/>
      <c r="G41" s="1290"/>
      <c r="H41" s="1290"/>
      <c r="I41" s="1290"/>
      <c r="J41" s="1290"/>
      <c r="K41" s="1290"/>
      <c r="L41" s="1291"/>
      <c r="M41" s="1292"/>
      <c r="N41" s="1292"/>
      <c r="O41" s="1292"/>
      <c r="P41" s="298"/>
      <c r="Q41" s="297"/>
      <c r="R41" s="292"/>
      <c r="S41" s="1384">
        <f>INDEX(PT_DIFFERENTIATION_NUM_NTAR,MATCH(A41,PT_DIFFERENTIATION_NTAR_ID,0))</f>
        <v>0</v>
      </c>
      <c r="T41" s="236" t="s">
        <v>128</v>
      </c>
      <c r="U41" s="238"/>
      <c r="V41" s="2890"/>
      <c r="W41" s="2891"/>
      <c r="X41" s="2891"/>
      <c r="Y41" s="2891"/>
      <c r="Z41" s="2891"/>
      <c r="AA41" s="2891"/>
      <c r="AB41" s="2892"/>
      <c r="AC41" s="2890" t="str">
        <f>INDEX(PT_DIFFERENTIATION_NTAR,MATCH(A41,PT_DIFFERENTIATION_NTAR_ID,0))</f>
        <v/>
      </c>
      <c r="AD41" s="2891"/>
      <c r="AE41" s="2891"/>
      <c r="AF41" s="2891"/>
      <c r="AG41" s="2891"/>
      <c r="AH41" s="2891"/>
      <c r="AI41" s="2891"/>
      <c r="AJ41" s="289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286</v>
      </c>
      <c r="B42" s="1290" t="s">
        <v>287</v>
      </c>
      <c r="C42" s="1290"/>
      <c r="D42" s="1290"/>
      <c r="E42" s="2897"/>
      <c r="F42" s="2896">
        <v>1</v>
      </c>
      <c r="G42" s="1290"/>
      <c r="H42" s="1290"/>
      <c r="I42" s="1290"/>
      <c r="J42" s="1290"/>
      <c r="K42" s="1290"/>
      <c r="L42" s="1291"/>
      <c r="M42" s="1292"/>
      <c r="N42" s="1292"/>
      <c r="O42" s="1292"/>
      <c r="P42" s="1380"/>
      <c r="Q42" s="289"/>
      <c r="R42" s="290"/>
      <c r="S42" s="1384" t="str">
        <f>INDEX(PT_DIFFERENTIATION_NUM_TER,MATCH(B42,PT_DIFFERENTIATION_TER_ID,0))</f>
        <v>.</v>
      </c>
      <c r="T42" s="246" t="s">
        <v>442</v>
      </c>
      <c r="U42" s="238"/>
      <c r="V42" s="2890"/>
      <c r="W42" s="2891"/>
      <c r="X42" s="2891"/>
      <c r="Y42" s="2891"/>
      <c r="Z42" s="2891"/>
      <c r="AA42" s="2891"/>
      <c r="AB42" s="2892"/>
      <c r="AC42" s="2890" t="str">
        <f>INDEX(PT_DIFFERENTIATION_TER,MATCH(B42,PT_DIFFERENTIATION_TER_ID,0))</f>
        <v/>
      </c>
      <c r="AD42" s="2891"/>
      <c r="AE42" s="2891"/>
      <c r="AF42" s="2891"/>
      <c r="AG42" s="2891"/>
      <c r="AH42" s="2891"/>
      <c r="AI42" s="2891"/>
      <c r="AJ42" s="2892"/>
      <c r="AK42" s="1185" t="s">
        <v>443</v>
      </c>
      <c r="AM42" s="437"/>
      <c r="AN42" s="437" t="str">
        <f t="shared" si="1"/>
        <v>Территория действия тарифа</v>
      </c>
      <c r="AO42" s="437"/>
      <c r="AP42" s="437"/>
      <c r="AQ42" s="1082">
        <v>23</v>
      </c>
    </row>
    <row r="43" spans="1:43" ht="24" customHeight="1">
      <c r="A43" s="1290" t="s">
        <v>286</v>
      </c>
      <c r="B43" s="1290" t="s">
        <v>287</v>
      </c>
      <c r="C43" s="1290" t="s">
        <v>288</v>
      </c>
      <c r="D43" s="1290"/>
      <c r="E43" s="2897"/>
      <c r="F43" s="2897"/>
      <c r="G43" s="2896">
        <v>1</v>
      </c>
      <c r="H43" s="1290"/>
      <c r="I43" s="1290"/>
      <c r="J43" s="1290"/>
      <c r="K43" s="1290"/>
      <c r="L43" s="1291"/>
      <c r="M43" s="1292"/>
      <c r="N43" s="1292"/>
      <c r="O43" s="1292"/>
      <c r="P43" s="291"/>
      <c r="Q43" s="289"/>
      <c r="R43" s="290"/>
      <c r="S43" s="1384" t="str">
        <f>INDEX(PT_DIFFERENTIATION_NUM_CS,MATCH(C43,PT_DIFFERENTIATION_CS_ID,0))</f>
        <v>..</v>
      </c>
      <c r="T43" s="247" t="s">
        <v>527</v>
      </c>
      <c r="U43" s="238"/>
      <c r="V43" s="2890"/>
      <c r="W43" s="2891"/>
      <c r="X43" s="2891"/>
      <c r="Y43" s="2891"/>
      <c r="Z43" s="2891"/>
      <c r="AA43" s="2891"/>
      <c r="AB43" s="2892"/>
      <c r="AC43" s="2890" t="str">
        <f>INDEX(PT_DIFFERENTIATION_CS,MATCH(C43,PT_DIFFERENTIATION_CS_ID,0))</f>
        <v/>
      </c>
      <c r="AD43" s="2891"/>
      <c r="AE43" s="2891"/>
      <c r="AF43" s="2891"/>
      <c r="AG43" s="2891"/>
      <c r="AH43" s="2891"/>
      <c r="AI43" s="2891"/>
      <c r="AJ43" s="2892"/>
      <c r="AK43" s="1185" t="s">
        <v>528</v>
      </c>
      <c r="AM43" s="437"/>
      <c r="AN43" s="437" t="str">
        <f t="shared" si="1"/>
        <v>Наименование централизованной системы холодного водоснабжения</v>
      </c>
      <c r="AO43" s="437"/>
      <c r="AP43" s="437"/>
      <c r="AQ43" s="1082">
        <v>23</v>
      </c>
    </row>
    <row r="44" spans="1:43" ht="24" customHeight="1">
      <c r="A44" s="1290" t="s">
        <v>286</v>
      </c>
      <c r="B44" s="1290" t="s">
        <v>287</v>
      </c>
      <c r="C44" s="1290" t="s">
        <v>288</v>
      </c>
      <c r="D44" s="1290" t="s">
        <v>544</v>
      </c>
      <c r="E44" s="2897"/>
      <c r="F44" s="2897"/>
      <c r="G44" s="2897"/>
      <c r="H44" s="2897"/>
      <c r="I44" s="2898" t="str">
        <f>S43&amp;".1"</f>
        <v>...1</v>
      </c>
      <c r="J44" s="1290"/>
      <c r="K44" s="1290"/>
      <c r="L44" s="1291"/>
      <c r="P44" s="2900">
        <v>1</v>
      </c>
      <c r="Q44" s="1377"/>
      <c r="R44" s="293"/>
      <c r="S44" s="1384" t="str">
        <f>$I44</f>
        <v>...1</v>
      </c>
      <c r="T44" s="223" t="s">
        <v>529</v>
      </c>
      <c r="U44" s="238"/>
      <c r="V44" s="2965"/>
      <c r="W44" s="2966"/>
      <c r="X44" s="2966"/>
      <c r="Y44" s="2966"/>
      <c r="Z44" s="2966"/>
      <c r="AA44" s="2966"/>
      <c r="AB44" s="2967"/>
      <c r="AC44" s="2968"/>
      <c r="AD44" s="2969"/>
      <c r="AE44" s="2969"/>
      <c r="AF44" s="2969"/>
      <c r="AG44" s="2969"/>
      <c r="AH44" s="2969"/>
      <c r="AI44" s="2969"/>
      <c r="AJ44" s="2970"/>
      <c r="AK44" s="1185" t="s">
        <v>530</v>
      </c>
      <c r="AM44" s="437"/>
      <c r="AN44" s="437" t="str">
        <f t="shared" si="1"/>
        <v>Наименование признака дифференциации</v>
      </c>
      <c r="AO44" s="437"/>
      <c r="AP44" s="437"/>
      <c r="AQ44" s="1082">
        <v>23</v>
      </c>
    </row>
    <row r="45" spans="1:43" ht="24" customHeight="1">
      <c r="A45" s="1290" t="s">
        <v>286</v>
      </c>
      <c r="B45" s="1290" t="s">
        <v>287</v>
      </c>
      <c r="C45" s="1290" t="s">
        <v>288</v>
      </c>
      <c r="D45" s="1290" t="s">
        <v>544</v>
      </c>
      <c r="E45" s="2897"/>
      <c r="F45" s="2897"/>
      <c r="G45" s="2897"/>
      <c r="H45" s="2897"/>
      <c r="I45" s="2899"/>
      <c r="J45" s="2898" t="str">
        <f>I44&amp;".1"</f>
        <v>...1.1</v>
      </c>
      <c r="K45" s="1290"/>
      <c r="L45" s="1291" t="s">
        <v>451</v>
      </c>
      <c r="P45" s="2900"/>
      <c r="Q45" s="2900">
        <v>1</v>
      </c>
      <c r="R45" s="294"/>
      <c r="S45" s="1384" t="str">
        <f>$J45</f>
        <v>...1.1</v>
      </c>
      <c r="T45" s="224" t="s">
        <v>452</v>
      </c>
      <c r="U45" s="238"/>
      <c r="V45" s="2884"/>
      <c r="W45" s="2885"/>
      <c r="X45" s="2885"/>
      <c r="Y45" s="2885"/>
      <c r="Z45" s="2885"/>
      <c r="AA45" s="2885"/>
      <c r="AB45" s="2886"/>
      <c r="AC45" s="2884"/>
      <c r="AD45" s="2885"/>
      <c r="AE45" s="2885"/>
      <c r="AF45" s="2885"/>
      <c r="AG45" s="2885"/>
      <c r="AH45" s="2885"/>
      <c r="AI45" s="2885"/>
      <c r="AJ45" s="2886"/>
      <c r="AK45" s="1234" t="s">
        <v>531</v>
      </c>
      <c r="AM45" s="437"/>
      <c r="AN45" s="437" t="str">
        <f t="shared" si="1"/>
        <v>Группа потребителей</v>
      </c>
      <c r="AO45" s="437"/>
      <c r="AP45" s="437"/>
      <c r="AQ45" s="1082">
        <v>23</v>
      </c>
    </row>
    <row r="46" spans="1:43" ht="24" customHeight="1">
      <c r="A46" s="1290" t="s">
        <v>286</v>
      </c>
      <c r="B46" s="1290" t="s">
        <v>287</v>
      </c>
      <c r="C46" s="1290" t="s">
        <v>288</v>
      </c>
      <c r="D46" s="1290" t="s">
        <v>544</v>
      </c>
      <c r="E46" s="2897"/>
      <c r="F46" s="2897"/>
      <c r="G46" s="2897"/>
      <c r="H46" s="2897"/>
      <c r="I46" s="2899"/>
      <c r="J46" s="2899"/>
      <c r="K46" s="2898" t="str">
        <f>J45&amp;".1"</f>
        <v>...1.1.1</v>
      </c>
      <c r="L46" s="1291"/>
      <c r="P46" s="2900"/>
      <c r="Q46" s="2900"/>
      <c r="R46" s="294">
        <v>1</v>
      </c>
      <c r="S46" s="1384" t="str">
        <f>$K46</f>
        <v>...1.1.1</v>
      </c>
      <c r="T46" s="1364"/>
      <c r="U46" s="238"/>
      <c r="V46" s="688"/>
      <c r="W46" s="688"/>
      <c r="X46" s="1184"/>
      <c r="Y46" s="2901"/>
      <c r="Z46" s="2768" t="s">
        <v>71</v>
      </c>
      <c r="AA46" s="2901"/>
      <c r="AB46" s="2768" t="s">
        <v>71</v>
      </c>
      <c r="AC46" s="688"/>
      <c r="AD46" s="688"/>
      <c r="AE46" s="1184"/>
      <c r="AF46" s="2901"/>
      <c r="AG46" s="2768" t="s">
        <v>71</v>
      </c>
      <c r="AH46" s="2903"/>
      <c r="AI46" s="2768" t="s">
        <v>71</v>
      </c>
      <c r="AJ46" s="1365"/>
      <c r="AK46" s="29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286</v>
      </c>
      <c r="B47" s="1290" t="s">
        <v>287</v>
      </c>
      <c r="C47" s="1290" t="s">
        <v>288</v>
      </c>
      <c r="D47" s="1290" t="s">
        <v>544</v>
      </c>
      <c r="E47" s="2897"/>
      <c r="F47" s="2897"/>
      <c r="G47" s="2897"/>
      <c r="H47" s="2897"/>
      <c r="I47" s="2899"/>
      <c r="J47" s="2899"/>
      <c r="K47" s="2898"/>
      <c r="L47" s="1291"/>
      <c r="P47" s="2900"/>
      <c r="Q47" s="2900"/>
      <c r="R47" s="294"/>
      <c r="S47" s="1383"/>
      <c r="T47" s="238"/>
      <c r="U47" s="238"/>
      <c r="V47" s="263"/>
      <c r="W47" s="263"/>
      <c r="X47" s="266" t="str">
        <f>Y46&amp;"-"&amp;AA46</f>
        <v>-</v>
      </c>
      <c r="Y47" s="2902"/>
      <c r="Z47" s="2768"/>
      <c r="AA47" s="2902"/>
      <c r="AB47" s="2768"/>
      <c r="AC47" s="263"/>
      <c r="AD47" s="263"/>
      <c r="AE47" s="266" t="str">
        <f>AF46&amp;"-"&amp;AH46</f>
        <v>-</v>
      </c>
      <c r="AF47" s="2902"/>
      <c r="AG47" s="2768"/>
      <c r="AH47" s="2904"/>
      <c r="AI47" s="2768"/>
      <c r="AJ47" s="1366"/>
      <c r="AK47" s="2971"/>
      <c r="AM47" s="437"/>
      <c r="AN47" s="437" t="str">
        <f t="shared" si="1"/>
        <v/>
      </c>
      <c r="AO47" s="437"/>
      <c r="AP47" s="437"/>
      <c r="AQ47" s="1082">
        <v>0</v>
      </c>
    </row>
    <row r="48" spans="1:43" ht="21" customHeight="1">
      <c r="A48" s="1290" t="s">
        <v>286</v>
      </c>
      <c r="B48" s="1290" t="s">
        <v>287</v>
      </c>
      <c r="C48" s="1290" t="s">
        <v>288</v>
      </c>
      <c r="D48" s="1290" t="s">
        <v>544</v>
      </c>
      <c r="E48" s="2897"/>
      <c r="F48" s="2897"/>
      <c r="G48" s="2897"/>
      <c r="H48" s="2897"/>
      <c r="I48" s="2899"/>
      <c r="J48" s="2898"/>
      <c r="K48" s="1290"/>
      <c r="L48" s="1291"/>
      <c r="P48" s="2900"/>
      <c r="Q48" s="2900"/>
      <c r="R48" s="293"/>
      <c r="S48" s="1205"/>
      <c r="T48" s="225" t="s">
        <v>532</v>
      </c>
      <c r="U48" s="304"/>
      <c r="V48" s="304"/>
      <c r="W48" s="304"/>
      <c r="X48" s="304"/>
      <c r="Y48" s="304"/>
      <c r="Z48" s="304"/>
      <c r="AA48" s="304"/>
      <c r="AB48" s="304"/>
      <c r="AC48" s="304"/>
      <c r="AD48" s="304"/>
      <c r="AE48" s="304"/>
      <c r="AF48" s="304"/>
      <c r="AG48" s="304"/>
      <c r="AH48" s="304"/>
      <c r="AI48" s="304"/>
      <c r="AJ48" s="304"/>
      <c r="AK48" s="1185" t="s">
        <v>533</v>
      </c>
      <c r="AM48" s="437"/>
      <c r="AN48" s="437" t="str">
        <f t="shared" si="1"/>
        <v>Добавить значение признака дифференциации</v>
      </c>
      <c r="AO48" s="437"/>
      <c r="AP48" s="437"/>
      <c r="AQ48" s="1082">
        <v>20</v>
      </c>
    </row>
    <row r="49" spans="1:43" ht="21.75" customHeight="1">
      <c r="A49" s="1290" t="s">
        <v>286</v>
      </c>
      <c r="B49" s="1290" t="s">
        <v>287</v>
      </c>
      <c r="C49" s="1290" t="s">
        <v>288</v>
      </c>
      <c r="D49" s="1290" t="s">
        <v>544</v>
      </c>
      <c r="E49" s="2897"/>
      <c r="F49" s="2897"/>
      <c r="G49" s="2897"/>
      <c r="H49" s="2897"/>
      <c r="I49" s="2898"/>
      <c r="J49" s="1290"/>
      <c r="K49" s="1290"/>
      <c r="L49" s="1291"/>
      <c r="P49" s="2900"/>
      <c r="Q49" s="1377"/>
      <c r="R49" s="293"/>
      <c r="S49" s="1205"/>
      <c r="T49" s="302" t="s">
        <v>457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75" customHeight="1">
      <c r="A50" s="1290" t="s">
        <v>286</v>
      </c>
      <c r="B50" s="1290" t="s">
        <v>287</v>
      </c>
      <c r="C50" s="1290" t="s">
        <v>288</v>
      </c>
      <c r="D50" s="1290" t="s">
        <v>544</v>
      </c>
      <c r="E50" s="2897"/>
      <c r="F50" s="2897"/>
      <c r="G50" s="2897"/>
      <c r="H50" s="2896"/>
      <c r="I50" s="1290"/>
      <c r="J50" s="1290"/>
      <c r="K50" s="1290"/>
      <c r="L50" s="1291"/>
      <c r="M50" s="1292"/>
      <c r="N50" s="1292"/>
      <c r="O50" s="474"/>
      <c r="P50" s="297"/>
      <c r="Q50" s="312"/>
      <c r="R50" s="292"/>
      <c r="S50" s="1205"/>
      <c r="T50" s="309" t="s">
        <v>534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286</v>
      </c>
      <c r="B51" s="1270" t="s">
        <v>287</v>
      </c>
      <c r="C51" s="1241"/>
      <c r="D51" s="1241"/>
      <c r="E51" s="2897"/>
      <c r="F51" s="2896"/>
      <c r="G51" s="1241"/>
      <c r="H51" s="1241"/>
      <c r="I51" s="1241"/>
      <c r="J51" s="1241"/>
      <c r="K51" s="1241"/>
      <c r="L51" s="1385"/>
      <c r="M51" s="1248"/>
      <c r="N51" s="1248"/>
      <c r="P51" s="1243"/>
      <c r="Q51" s="1244"/>
      <c r="R51" s="1243"/>
      <c r="S51" s="1249"/>
      <c r="T51" s="1252" t="s">
        <v>176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286</v>
      </c>
      <c r="B52" s="1270"/>
      <c r="C52" s="1270"/>
      <c r="D52" s="1270"/>
      <c r="E52" s="2896"/>
      <c r="F52" s="1270"/>
      <c r="G52" s="1270"/>
      <c r="H52" s="1270"/>
      <c r="I52" s="1270"/>
      <c r="J52" s="1270"/>
      <c r="K52" s="1270"/>
      <c r="L52" s="1273"/>
      <c r="M52" s="1248"/>
      <c r="N52" s="1248"/>
      <c r="O52" s="455"/>
      <c r="P52" s="317"/>
      <c r="Q52" s="1271"/>
      <c r="R52" s="317"/>
      <c r="S52" s="1249"/>
      <c r="T52" s="1252" t="s">
        <v>178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385"/>
      <c r="M53" s="1248"/>
      <c r="N53" s="1248"/>
      <c r="P53" s="1243"/>
      <c r="Q53" s="1244"/>
      <c r="R53" s="1243"/>
      <c r="S53" s="1249"/>
      <c r="T53" s="1252" t="s">
        <v>212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25" customHeight="1">
      <c r="M54" s="1087"/>
      <c r="N54" s="1087"/>
      <c r="O54" s="474"/>
      <c r="P54" s="1082"/>
      <c r="Q54" s="1082"/>
      <c r="R54" s="1082"/>
      <c r="S54" s="1082"/>
      <c r="AL54" s="1082"/>
      <c r="AM54" s="1082"/>
      <c r="AN54" s="1082"/>
      <c r="AO54" s="1082"/>
      <c r="AP54" s="1082"/>
      <c r="AQ54" s="1082">
        <v>11</v>
      </c>
    </row>
    <row r="55" spans="1:43" ht="15" customHeight="1">
      <c r="O55" s="474"/>
      <c r="S55" s="1180"/>
      <c r="T55" s="2895"/>
      <c r="U55" s="2895"/>
      <c r="V55" s="2895"/>
      <c r="W55" s="2895"/>
      <c r="X55" s="2895"/>
      <c r="Y55" s="2895"/>
      <c r="Z55" s="2895"/>
      <c r="AA55" s="2895"/>
      <c r="AB55" s="2895"/>
      <c r="AC55" s="2895"/>
      <c r="AD55" s="2895"/>
      <c r="AE55" s="2895"/>
      <c r="AF55" s="2895"/>
      <c r="AG55" s="2895"/>
      <c r="AH55" s="2895"/>
      <c r="AI55" s="2895"/>
      <c r="AJ55" s="2895"/>
      <c r="AK55" s="2895"/>
      <c r="AQ55" s="1082">
        <v>14</v>
      </c>
    </row>
    <row r="56" spans="1:43" ht="15" customHeight="1">
      <c r="O56" s="474"/>
      <c r="AQ56" s="1082">
        <v>14</v>
      </c>
    </row>
    <row r="57" spans="1:43" ht="15" customHeight="1">
      <c r="O57" s="474"/>
      <c r="S57" s="1180"/>
      <c r="T57" s="2895"/>
      <c r="U57" s="2895"/>
      <c r="V57" s="2895"/>
      <c r="W57" s="2895"/>
      <c r="X57" s="2895"/>
      <c r="Y57" s="2895"/>
      <c r="Z57" s="2895"/>
      <c r="AA57" s="2895"/>
      <c r="AB57" s="2895"/>
      <c r="AC57" s="2895"/>
      <c r="AD57" s="2895"/>
      <c r="AE57" s="2895"/>
      <c r="AF57" s="2895"/>
      <c r="AG57" s="2895"/>
      <c r="AH57" s="2895"/>
      <c r="AI57" s="2895"/>
      <c r="AJ57" s="2895"/>
      <c r="AK57" s="2895"/>
      <c r="AQ57" s="1082">
        <v>14</v>
      </c>
    </row>
    <row r="58" spans="1:43" ht="22.5" hidden="1" customHeight="1">
      <c r="A58" s="1087" t="s">
        <v>87</v>
      </c>
      <c r="B58" s="1087">
        <v>0</v>
      </c>
      <c r="C58" s="1087">
        <v>0</v>
      </c>
      <c r="D58" s="1087">
        <v>0</v>
      </c>
      <c r="E58" s="1087">
        <v>0</v>
      </c>
      <c r="F58" s="1087">
        <v>0</v>
      </c>
      <c r="G58" s="1087">
        <v>0</v>
      </c>
      <c r="H58" s="1087">
        <v>0</v>
      </c>
      <c r="I58" s="1087">
        <v>0</v>
      </c>
      <c r="J58" s="1087">
        <v>0</v>
      </c>
      <c r="K58" s="1087">
        <v>0</v>
      </c>
      <c r="L58" s="1374">
        <v>0</v>
      </c>
      <c r="M58" s="1289">
        <v>0</v>
      </c>
      <c r="N58" s="1289">
        <v>0</v>
      </c>
      <c r="O58" s="1289">
        <v>0</v>
      </c>
      <c r="P58" s="1373">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X47 AE8 X8 AE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44:AJ44 AC5:AJ5">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Y46 AA46 AH7 AF7 Y7 AA7"/>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46 AI524330 AI196650 AI589866 AI655402 AI15 AI720938 AI786474 AI852010 AI917546 AI983082 AI65578 AI131114 AI458794 AI262186 AG46 AI7 Z46 AB46 AG15 AG7 Z7 AB7 AI327722 AI393258"/>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64"/>
  <sheetViews>
    <sheetView showGridLines="0" zoomScale="90" workbookViewId="0">
      <pane xSplit="27" ySplit="41" topLeftCell="AB42" activePane="bottomRight" state="frozen"/>
      <selection pane="topRight" activeCell="AB1" sqref="AB1"/>
      <selection pane="bottomLeft" activeCell="A42" sqref="A42"/>
      <selection pane="bottomRight"/>
    </sheetView>
  </sheetViews>
  <sheetFormatPr defaultColWidth="10.5703125" defaultRowHeight="14.25" customHeight="1"/>
  <cols>
    <col min="1" max="3" width="10.140625" style="1562" hidden="1" customWidth="1"/>
    <col min="4" max="4" width="11.85546875" style="1562" hidden="1" customWidth="1"/>
    <col min="5" max="11" width="10.140625" style="1562" hidden="1" customWidth="1"/>
    <col min="12" max="12" width="10.140625" style="2000" hidden="1" customWidth="1"/>
    <col min="13" max="15" width="10.140625" style="2007" hidden="1" customWidth="1"/>
    <col min="16" max="16" width="3" style="1702" customWidth="1"/>
    <col min="17" max="17" width="3" style="1298" customWidth="1"/>
    <col min="18" max="18" width="3" style="282" customWidth="1"/>
    <col min="19" max="19" width="12" style="2008" customWidth="1"/>
    <col min="20" max="20" width="31" style="1562" customWidth="1"/>
    <col min="21" max="21" width="0.140625" style="1562" customWidth="1"/>
    <col min="22" max="23" width="21.7109375" style="1562" hidden="1" customWidth="1"/>
    <col min="24" max="24" width="11.7109375" style="1562" hidden="1" customWidth="1"/>
    <col min="25" max="25" width="3.7109375" style="1562" hidden="1" customWidth="1"/>
    <col min="26" max="26" width="11.7109375" style="1562" hidden="1" customWidth="1"/>
    <col min="27" max="27" width="8.5703125" style="1562" hidden="1" customWidth="1"/>
    <col min="28" max="28" width="27" style="1562" customWidth="1"/>
    <col min="29" max="29" width="24.5703125" style="1562" customWidth="1"/>
    <col min="30" max="31" width="21"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0.75" hidden="1" customHeight="1">
      <c r="AQ1" s="1558" t="s">
        <v>14</v>
      </c>
    </row>
    <row r="2" spans="1:43" ht="21" hidden="1" customHeight="1">
      <c r="A2" s="1194"/>
      <c r="B2" s="1194"/>
      <c r="C2" s="1194"/>
      <c r="D2" s="1194"/>
      <c r="E2" s="2923">
        <v>1</v>
      </c>
      <c r="F2" s="1194"/>
      <c r="G2" s="1194"/>
      <c r="H2" s="1194"/>
      <c r="I2" s="1194"/>
      <c r="J2" s="1194"/>
      <c r="K2" s="1194"/>
      <c r="L2" s="1237"/>
      <c r="M2" s="1537"/>
      <c r="N2" s="1537"/>
      <c r="O2" s="1537"/>
      <c r="P2" s="1336"/>
      <c r="Q2" s="804"/>
      <c r="R2" s="292"/>
      <c r="S2" s="1880" t="e">
        <f>INDEX(PT_DIFFERENTIATION_NUM_NTAR,MATCH(A2,PT_DIFFERENTIATION_NTAR_ID,0))</f>
        <v>#N/A</v>
      </c>
      <c r="T2" s="1452" t="s">
        <v>128</v>
      </c>
      <c r="U2" s="238"/>
      <c r="V2" s="2891"/>
      <c r="W2" s="2891"/>
      <c r="X2" s="2891"/>
      <c r="Y2" s="2891"/>
      <c r="Z2" s="2891"/>
      <c r="AA2" s="2892"/>
      <c r="AB2" s="1874"/>
      <c r="AC2" s="2891" t="e">
        <f>INDEX(PT_DIFFERENTIATION_NTAR,MATCH(A2,PT_DIFFERENTIATION_NTAR_ID,0))</f>
        <v>#N/A</v>
      </c>
      <c r="AD2" s="2891"/>
      <c r="AE2" s="2891"/>
      <c r="AF2" s="2891"/>
      <c r="AG2" s="2891"/>
      <c r="AH2" s="2891"/>
      <c r="AI2" s="2891"/>
      <c r="AJ2" s="2892"/>
      <c r="AK2" s="1185" t="s">
        <v>441</v>
      </c>
      <c r="AM2" s="1551"/>
      <c r="AN2" s="1551" t="str">
        <f t="shared" ref="AN2:AN14" si="0">IF(T2="","",T2)</f>
        <v>Наименование тарифа</v>
      </c>
      <c r="AO2" s="1551"/>
      <c r="AP2" s="1551"/>
      <c r="AQ2" s="1558">
        <v>0</v>
      </c>
    </row>
    <row r="3" spans="1:43" ht="21" hidden="1" customHeight="1">
      <c r="A3" s="1194"/>
      <c r="B3" s="1194"/>
      <c r="C3" s="1194"/>
      <c r="D3" s="1194"/>
      <c r="E3" s="2924"/>
      <c r="F3" s="2923">
        <v>1</v>
      </c>
      <c r="G3" s="1194"/>
      <c r="H3" s="1194"/>
      <c r="I3" s="1194"/>
      <c r="J3" s="1194"/>
      <c r="K3" s="1194"/>
      <c r="L3" s="1237"/>
      <c r="M3" s="1537"/>
      <c r="N3" s="1537"/>
      <c r="O3" s="1537"/>
      <c r="P3" s="1891"/>
      <c r="Q3" s="1338"/>
      <c r="R3" s="290"/>
      <c r="S3" s="1880" t="e">
        <f>INDEX(PT_DIFFERENTIATION_NUM_TER,MATCH(B3,PT_DIFFERENTIATION_TER_ID,0))</f>
        <v>#N/A</v>
      </c>
      <c r="T3" s="1449" t="s">
        <v>442</v>
      </c>
      <c r="U3" s="238"/>
      <c r="V3" s="2891"/>
      <c r="W3" s="2891"/>
      <c r="X3" s="2891"/>
      <c r="Y3" s="2891"/>
      <c r="Z3" s="2891"/>
      <c r="AA3" s="2892"/>
      <c r="AB3" s="1874"/>
      <c r="AC3" s="2891" t="e">
        <f>INDEX(PT_DIFFERENTIATION_TER,MATCH(B3,PT_DIFFERENTIATION_TER_ID,0))</f>
        <v>#N/A</v>
      </c>
      <c r="AD3" s="2891"/>
      <c r="AE3" s="2891"/>
      <c r="AF3" s="2891"/>
      <c r="AG3" s="2891"/>
      <c r="AH3" s="2891"/>
      <c r="AI3" s="2891"/>
      <c r="AJ3" s="2892"/>
      <c r="AK3" s="1185" t="s">
        <v>443</v>
      </c>
      <c r="AM3" s="1551"/>
      <c r="AN3" s="1551" t="str">
        <f t="shared" si="0"/>
        <v>Территория действия тарифа</v>
      </c>
      <c r="AO3" s="1551"/>
      <c r="AP3" s="1551"/>
      <c r="AQ3" s="1558">
        <v>0</v>
      </c>
    </row>
    <row r="4" spans="1:43" ht="22.5" hidden="1" customHeight="1">
      <c r="A4" s="1194"/>
      <c r="B4" s="1194"/>
      <c r="C4" s="1194"/>
      <c r="D4" s="1194"/>
      <c r="E4" s="2924"/>
      <c r="F4" s="2924"/>
      <c r="G4" s="2923">
        <v>1</v>
      </c>
      <c r="H4" s="1194"/>
      <c r="I4" s="1194"/>
      <c r="J4" s="1194"/>
      <c r="K4" s="1194"/>
      <c r="L4" s="1237"/>
      <c r="M4" s="1537"/>
      <c r="N4" s="1537"/>
      <c r="O4" s="1537"/>
      <c r="P4" s="1339"/>
      <c r="Q4" s="1338"/>
      <c r="R4" s="290"/>
      <c r="S4" s="1880" t="e">
        <f>INDEX(PT_DIFFERENTIATION_NUM_CS,MATCH(C4,PT_DIFFERENTIATION_CS_ID,0))</f>
        <v>#N/A</v>
      </c>
      <c r="T4" s="247" t="s">
        <v>444</v>
      </c>
      <c r="U4" s="238"/>
      <c r="V4" s="2891"/>
      <c r="W4" s="2891"/>
      <c r="X4" s="2891"/>
      <c r="Y4" s="2891"/>
      <c r="Z4" s="2891"/>
      <c r="AA4" s="2892"/>
      <c r="AB4" s="1874"/>
      <c r="AC4" s="2891" t="e">
        <f>INDEX(PT_DIFFERENTIATION_CS,MATCH(C4,PT_DIFFERENTIATION_CS_ID,0))</f>
        <v>#N/A</v>
      </c>
      <c r="AD4" s="2891"/>
      <c r="AE4" s="2891"/>
      <c r="AF4" s="2891"/>
      <c r="AG4" s="2891"/>
      <c r="AH4" s="2891"/>
      <c r="AI4" s="2891"/>
      <c r="AJ4" s="2892"/>
      <c r="AK4" s="1185" t="s">
        <v>445</v>
      </c>
      <c r="AM4" s="1551"/>
      <c r="AN4" s="1551" t="str">
        <f t="shared" si="0"/>
        <v xml:space="preserve">Наименование системы теплоснабжения </v>
      </c>
      <c r="AO4" s="1551"/>
      <c r="AP4" s="1551"/>
      <c r="AQ4" s="1558">
        <v>0</v>
      </c>
    </row>
    <row r="5" spans="1:43" ht="21" hidden="1" customHeight="1">
      <c r="A5" s="1194"/>
      <c r="B5" s="1194"/>
      <c r="C5" s="1194"/>
      <c r="D5" s="1194"/>
      <c r="E5" s="2924"/>
      <c r="F5" s="2924"/>
      <c r="G5" s="2924"/>
      <c r="H5" s="2923">
        <v>1</v>
      </c>
      <c r="I5" s="1194"/>
      <c r="J5" s="1194"/>
      <c r="K5" s="1194"/>
      <c r="L5" s="1237"/>
      <c r="M5" s="1537"/>
      <c r="N5" s="1537"/>
      <c r="O5" s="1537"/>
      <c r="P5" s="1339"/>
      <c r="Q5" s="1338"/>
      <c r="R5" s="290"/>
      <c r="S5" s="1880" t="e">
        <f>INDEX(PT_DIFFERENTIATION_NUM_IST_TE,MATCH(D5,PT_DIFFERENTIATION_IST_TE_ID,0))</f>
        <v>#N/A</v>
      </c>
      <c r="T5" s="248" t="s">
        <v>446</v>
      </c>
      <c r="U5" s="238"/>
      <c r="V5" s="2891"/>
      <c r="W5" s="2891"/>
      <c r="X5" s="2891"/>
      <c r="Y5" s="2891"/>
      <c r="Z5" s="2891"/>
      <c r="AA5" s="2892"/>
      <c r="AB5" s="1874"/>
      <c r="AC5" s="2891" t="e">
        <f>INDEX(PT_DIFFERENTIATION_IST_TE,MATCH(D5,PT_DIFFERENTIATION_IST_TE_ID,0))</f>
        <v>#N/A</v>
      </c>
      <c r="AD5" s="2891"/>
      <c r="AE5" s="2891"/>
      <c r="AF5" s="2891"/>
      <c r="AG5" s="2891"/>
      <c r="AH5" s="2891"/>
      <c r="AI5" s="2891"/>
      <c r="AJ5" s="2892"/>
      <c r="AK5" s="1185" t="s">
        <v>447</v>
      </c>
      <c r="AM5" s="1551"/>
      <c r="AN5" s="1551" t="str">
        <f t="shared" si="0"/>
        <v xml:space="preserve">Источник тепловой энергии  </v>
      </c>
      <c r="AO5" s="1551"/>
      <c r="AP5" s="1551"/>
      <c r="AQ5" s="1558">
        <v>0</v>
      </c>
    </row>
    <row r="6" spans="1:43" s="1569" customFormat="1" ht="0.75" hidden="1" customHeight="1">
      <c r="A6" s="1302"/>
      <c r="B6" s="1302"/>
      <c r="C6" s="1302"/>
      <c r="D6" s="1302"/>
      <c r="E6" s="2924"/>
      <c r="F6" s="2924"/>
      <c r="G6" s="2924"/>
      <c r="H6" s="2924"/>
      <c r="I6" s="2758" t="e">
        <f>S5&amp;".1"</f>
        <v>#N/A</v>
      </c>
      <c r="J6" s="1302"/>
      <c r="K6" s="1302"/>
      <c r="L6" s="1308" t="s">
        <v>448</v>
      </c>
      <c r="M6" s="1173"/>
      <c r="N6" s="1173"/>
      <c r="O6" s="1173"/>
      <c r="P6" s="2900">
        <v>1</v>
      </c>
      <c r="Q6" s="1876"/>
      <c r="R6" s="293"/>
      <c r="S6" s="972"/>
      <c r="T6" s="1310"/>
      <c r="U6" s="1311"/>
      <c r="V6" s="2929"/>
      <c r="W6" s="2929"/>
      <c r="X6" s="2929"/>
      <c r="Y6" s="2929"/>
      <c r="Z6" s="2929"/>
      <c r="AA6" s="2930"/>
      <c r="AB6" s="1882"/>
      <c r="AC6" s="2929"/>
      <c r="AD6" s="2929"/>
      <c r="AE6" s="2929"/>
      <c r="AF6" s="2929"/>
      <c r="AG6" s="2929"/>
      <c r="AH6" s="2929"/>
      <c r="AI6" s="2929"/>
      <c r="AJ6" s="2930"/>
      <c r="AK6" s="1312"/>
      <c r="AM6" s="1551"/>
      <c r="AN6" s="1551" t="str">
        <f t="shared" si="0"/>
        <v/>
      </c>
      <c r="AO6" s="1551"/>
      <c r="AP6" s="1551"/>
      <c r="AQ6" s="1563">
        <v>0</v>
      </c>
    </row>
    <row r="7" spans="1:43" s="1569" customFormat="1" ht="0.75" hidden="1" customHeight="1">
      <c r="A7" s="1302"/>
      <c r="B7" s="1302"/>
      <c r="C7" s="1302"/>
      <c r="D7" s="1302"/>
      <c r="E7" s="2924"/>
      <c r="F7" s="2924"/>
      <c r="G7" s="2924"/>
      <c r="H7" s="2924"/>
      <c r="I7" s="2740"/>
      <c r="J7" s="2758" t="e">
        <f>S5&amp;".1"</f>
        <v>#N/A</v>
      </c>
      <c r="K7" s="1302"/>
      <c r="L7" s="1308"/>
      <c r="M7" s="1173"/>
      <c r="N7" s="1173"/>
      <c r="O7" s="1173"/>
      <c r="P7" s="2900"/>
      <c r="Q7" s="2900">
        <v>1</v>
      </c>
      <c r="R7" s="294"/>
      <c r="S7" s="972"/>
      <c r="T7" s="1326"/>
      <c r="U7" s="1311"/>
      <c r="V7" s="2929"/>
      <c r="W7" s="2929"/>
      <c r="X7" s="2929"/>
      <c r="Y7" s="2929"/>
      <c r="Z7" s="2929"/>
      <c r="AA7" s="2930"/>
      <c r="AB7" s="1882"/>
      <c r="AC7" s="2929"/>
      <c r="AD7" s="2929"/>
      <c r="AE7" s="2929"/>
      <c r="AF7" s="2929"/>
      <c r="AG7" s="2929"/>
      <c r="AH7" s="2929"/>
      <c r="AI7" s="2929"/>
      <c r="AJ7" s="2930"/>
      <c r="AK7" s="1312"/>
      <c r="AM7" s="1551"/>
      <c r="AN7" s="1551" t="str">
        <f t="shared" si="0"/>
        <v/>
      </c>
      <c r="AO7" s="1551"/>
      <c r="AP7" s="1551"/>
      <c r="AQ7" s="1563">
        <v>0</v>
      </c>
    </row>
    <row r="8" spans="1:43" ht="21" hidden="1" customHeight="1">
      <c r="A8" s="1194"/>
      <c r="B8" s="1194"/>
      <c r="C8" s="1194"/>
      <c r="D8" s="1194"/>
      <c r="E8" s="2924"/>
      <c r="F8" s="2924"/>
      <c r="G8" s="2924"/>
      <c r="H8" s="2924"/>
      <c r="I8" s="2740"/>
      <c r="J8" s="2740"/>
      <c r="K8" s="1913" t="e">
        <f>S5&amp;".1"</f>
        <v>#N/A</v>
      </c>
      <c r="L8" s="1237"/>
      <c r="P8" s="2900"/>
      <c r="Q8" s="2900"/>
      <c r="R8" s="1917">
        <v>1</v>
      </c>
      <c r="S8" s="1915" t="e">
        <f>$K8</f>
        <v>#N/A</v>
      </c>
      <c r="T8" s="1916"/>
      <c r="U8" s="238"/>
      <c r="V8" s="688"/>
      <c r="W8" s="1184"/>
      <c r="X8" s="1914"/>
      <c r="Y8" s="1912" t="s">
        <v>71</v>
      </c>
      <c r="Z8" s="1914"/>
      <c r="AA8" s="1912" t="s">
        <v>71</v>
      </c>
      <c r="AB8" s="1918"/>
      <c r="AC8" s="1919" t="s">
        <v>30</v>
      </c>
      <c r="AD8" s="688"/>
      <c r="AE8" s="1184"/>
      <c r="AF8" s="1877"/>
      <c r="AG8" s="1864" t="s">
        <v>71</v>
      </c>
      <c r="AH8" s="1877"/>
      <c r="AI8" s="1864" t="s">
        <v>71</v>
      </c>
      <c r="AJ8" s="1275"/>
      <c r="AK8" s="2919" t="s">
        <v>510</v>
      </c>
      <c r="AL8" s="1563" t="e">
        <f ca="1">STRCHECKDATE(#REF!)</f>
        <v>#NAME?</v>
      </c>
      <c r="AM8" s="1551"/>
      <c r="AN8" s="1551" t="str">
        <f t="shared" si="0"/>
        <v/>
      </c>
      <c r="AO8" s="1551"/>
      <c r="AP8" s="1551"/>
      <c r="AQ8" s="1558">
        <v>0</v>
      </c>
    </row>
    <row r="9" spans="1:43" ht="11.25" hidden="1" customHeight="1">
      <c r="A9" s="1194"/>
      <c r="B9" s="1194"/>
      <c r="C9" s="1194"/>
      <c r="D9" s="1194"/>
      <c r="E9" s="2924"/>
      <c r="F9" s="2924"/>
      <c r="G9" s="2924"/>
      <c r="H9" s="2924"/>
      <c r="I9" s="2740"/>
      <c r="J9" s="2758"/>
      <c r="K9" s="1194"/>
      <c r="L9" s="1237"/>
      <c r="P9" s="2900"/>
      <c r="Q9" s="2900"/>
      <c r="R9" s="293"/>
      <c r="S9" s="1205"/>
      <c r="T9" s="225" t="s">
        <v>514</v>
      </c>
      <c r="U9" s="537"/>
      <c r="V9" s="537"/>
      <c r="W9" s="537"/>
      <c r="X9" s="537"/>
      <c r="Y9" s="537"/>
      <c r="Z9" s="537"/>
      <c r="AA9" s="537"/>
      <c r="AB9" s="537"/>
      <c r="AC9" s="537"/>
      <c r="AD9" s="537"/>
      <c r="AE9" s="537"/>
      <c r="AF9" s="537"/>
      <c r="AG9" s="537"/>
      <c r="AH9" s="537"/>
      <c r="AI9" s="537"/>
      <c r="AJ9" s="262"/>
      <c r="AK9" s="2921"/>
      <c r="AM9" s="1551"/>
      <c r="AN9" s="1551" t="str">
        <f t="shared" si="0"/>
        <v>Добавить строку</v>
      </c>
      <c r="AO9" s="1551"/>
      <c r="AP9" s="1551"/>
      <c r="AQ9" s="1558">
        <v>0</v>
      </c>
    </row>
    <row r="10" spans="1:43" s="1569" customFormat="1" ht="0.75" hidden="1" customHeight="1">
      <c r="A10" s="1302"/>
      <c r="B10" s="1302"/>
      <c r="C10" s="1302"/>
      <c r="D10" s="1302"/>
      <c r="E10" s="2924"/>
      <c r="F10" s="2924"/>
      <c r="G10" s="2924"/>
      <c r="H10" s="2924"/>
      <c r="I10" s="2758"/>
      <c r="J10" s="1302"/>
      <c r="K10" s="1302"/>
      <c r="L10" s="1308"/>
      <c r="M10" s="1173"/>
      <c r="N10" s="1173"/>
      <c r="O10" s="1173"/>
      <c r="P10" s="2900"/>
      <c r="Q10" s="1876"/>
      <c r="R10" s="293"/>
      <c r="S10" s="1313"/>
      <c r="T10" s="1314"/>
      <c r="U10" s="1315"/>
      <c r="V10" s="1315"/>
      <c r="W10" s="1315"/>
      <c r="X10" s="1315"/>
      <c r="Y10" s="1315"/>
      <c r="Z10" s="1315"/>
      <c r="AA10" s="1315"/>
      <c r="AB10" s="1315"/>
      <c r="AC10" s="1315"/>
      <c r="AD10" s="1315"/>
      <c r="AE10" s="1315"/>
      <c r="AF10" s="1315"/>
      <c r="AG10" s="1315"/>
      <c r="AH10" s="1315"/>
      <c r="AI10" s="1315"/>
      <c r="AJ10" s="1315"/>
      <c r="AK10" s="1316"/>
      <c r="AM10" s="1551"/>
      <c r="AN10" s="1551" t="str">
        <f t="shared" si="0"/>
        <v/>
      </c>
      <c r="AO10" s="1551"/>
      <c r="AP10" s="1551"/>
      <c r="AQ10" s="1563">
        <v>0</v>
      </c>
    </row>
    <row r="11" spans="1:43" s="1569" customFormat="1" ht="0.75" hidden="1" customHeight="1">
      <c r="A11" s="1302"/>
      <c r="B11" s="1302"/>
      <c r="C11" s="1302"/>
      <c r="D11" s="1302"/>
      <c r="E11" s="2924"/>
      <c r="F11" s="2924"/>
      <c r="G11" s="2924"/>
      <c r="H11" s="2923"/>
      <c r="I11" s="1302"/>
      <c r="J11" s="1302"/>
      <c r="K11" s="1302"/>
      <c r="L11" s="1308"/>
      <c r="M11" s="1305"/>
      <c r="N11" s="1305"/>
      <c r="O11" s="288"/>
      <c r="P11" s="317"/>
      <c r="Q11" s="1271"/>
      <c r="R11" s="1328"/>
      <c r="S11" s="1313"/>
      <c r="T11" s="1314"/>
      <c r="U11" s="1315"/>
      <c r="V11" s="1315"/>
      <c r="W11" s="1315"/>
      <c r="X11" s="1315"/>
      <c r="Y11" s="1315"/>
      <c r="Z11" s="1315"/>
      <c r="AA11" s="1315"/>
      <c r="AB11" s="1315"/>
      <c r="AC11" s="1315"/>
      <c r="AD11" s="1315"/>
      <c r="AE11" s="1315"/>
      <c r="AF11" s="1315"/>
      <c r="AG11" s="1315"/>
      <c r="AH11" s="1315"/>
      <c r="AI11" s="1315"/>
      <c r="AJ11" s="1315"/>
      <c r="AK11" s="1316"/>
      <c r="AM11" s="1551"/>
      <c r="AN11" s="1551" t="str">
        <f t="shared" si="0"/>
        <v/>
      </c>
      <c r="AO11" s="1551"/>
      <c r="AP11" s="1551"/>
      <c r="AQ11" s="1563">
        <v>0</v>
      </c>
    </row>
    <row r="12" spans="1:43" s="1569" customFormat="1" ht="0.75" hidden="1" customHeight="1">
      <c r="A12" s="1302"/>
      <c r="B12" s="1302"/>
      <c r="C12" s="1302"/>
      <c r="D12" s="1301"/>
      <c r="E12" s="2924"/>
      <c r="F12" s="2924"/>
      <c r="G12" s="2923"/>
      <c r="H12" s="1301"/>
      <c r="I12" s="1301"/>
      <c r="J12" s="1301"/>
      <c r="K12" s="1301"/>
      <c r="L12" s="1304"/>
      <c r="M12" s="1305"/>
      <c r="N12" s="1305"/>
      <c r="O12" s="288"/>
      <c r="P12" s="1243"/>
      <c r="Q12" s="1244"/>
      <c r="R12" s="1243"/>
      <c r="S12" s="1249"/>
      <c r="T12" s="1252" t="s">
        <v>174</v>
      </c>
      <c r="U12" s="1251"/>
      <c r="V12" s="1251"/>
      <c r="W12" s="1251"/>
      <c r="X12" s="1251"/>
      <c r="Y12" s="1251"/>
      <c r="Z12" s="1251"/>
      <c r="AA12" s="1251"/>
      <c r="AB12" s="1251"/>
      <c r="AC12" s="1251"/>
      <c r="AD12" s="1251"/>
      <c r="AE12" s="1251"/>
      <c r="AF12" s="1251"/>
      <c r="AG12" s="1251"/>
      <c r="AH12" s="1251"/>
      <c r="AI12" s="1251"/>
      <c r="AJ12" s="1251"/>
      <c r="AK12" s="1251"/>
      <c r="AM12" s="1178"/>
      <c r="AN12" s="1178" t="str">
        <f t="shared" si="0"/>
        <v>Добавить источник для дифференциации</v>
      </c>
      <c r="AO12" s="1178"/>
      <c r="AP12" s="1178"/>
      <c r="AQ12" s="1569">
        <v>0</v>
      </c>
    </row>
    <row r="13" spans="1:43" s="1569" customFormat="1" ht="0.75" hidden="1" customHeight="1">
      <c r="A13" s="1302"/>
      <c r="B13" s="1302"/>
      <c r="C13" s="1301"/>
      <c r="D13" s="1301"/>
      <c r="E13" s="2924"/>
      <c r="F13" s="2923"/>
      <c r="G13" s="1301"/>
      <c r="H13" s="1301"/>
      <c r="I13" s="1301"/>
      <c r="J13" s="1301"/>
      <c r="K13" s="1301"/>
      <c r="L13" s="1304"/>
      <c r="M13" s="1306"/>
      <c r="N13" s="1306"/>
      <c r="O13" s="288"/>
      <c r="P13" s="1243"/>
      <c r="Q13" s="1244"/>
      <c r="R13" s="1243"/>
      <c r="S13" s="1249"/>
      <c r="T13" s="1252" t="s">
        <v>176</v>
      </c>
      <c r="U13" s="1251"/>
      <c r="V13" s="1251"/>
      <c r="W13" s="1251"/>
      <c r="X13" s="1251"/>
      <c r="Y13" s="1251"/>
      <c r="Z13" s="1251"/>
      <c r="AA13" s="1251"/>
      <c r="AB13" s="1251"/>
      <c r="AC13" s="1251"/>
      <c r="AD13" s="1251"/>
      <c r="AE13" s="1251"/>
      <c r="AF13" s="1251"/>
      <c r="AG13" s="1251"/>
      <c r="AH13" s="1251"/>
      <c r="AI13" s="1251"/>
      <c r="AJ13" s="1251"/>
      <c r="AK13" s="1251"/>
      <c r="AM13" s="1178"/>
      <c r="AN13" s="1178" t="str">
        <f t="shared" si="0"/>
        <v>Добавить централизованную систему для дифференциации</v>
      </c>
      <c r="AO13" s="1178"/>
      <c r="AP13" s="1178"/>
      <c r="AQ13" s="1569">
        <v>0</v>
      </c>
    </row>
    <row r="14" spans="1:43" s="1569" customFormat="1" ht="0.75" hidden="1" customHeight="1">
      <c r="A14" s="1302"/>
      <c r="B14" s="1302"/>
      <c r="C14" s="1302"/>
      <c r="D14" s="1302"/>
      <c r="E14" s="2923"/>
      <c r="F14" s="1302"/>
      <c r="G14" s="1302"/>
      <c r="H14" s="1302"/>
      <c r="I14" s="1302"/>
      <c r="J14" s="1302"/>
      <c r="K14" s="1302"/>
      <c r="L14" s="1308"/>
      <c r="M14" s="1306"/>
      <c r="N14" s="1306"/>
      <c r="O14" s="288"/>
      <c r="P14" s="317"/>
      <c r="Q14" s="1271"/>
      <c r="R14" s="317"/>
      <c r="S14" s="1249"/>
      <c r="T14" s="1252" t="s">
        <v>178</v>
      </c>
      <c r="U14" s="1251"/>
      <c r="V14" s="1251"/>
      <c r="W14" s="1251"/>
      <c r="X14" s="1251"/>
      <c r="Y14" s="1251"/>
      <c r="Z14" s="1251"/>
      <c r="AA14" s="1251"/>
      <c r="AB14" s="1251"/>
      <c r="AC14" s="1251"/>
      <c r="AD14" s="1251"/>
      <c r="AE14" s="1251"/>
      <c r="AF14" s="1251"/>
      <c r="AG14" s="1251"/>
      <c r="AH14" s="1251"/>
      <c r="AI14" s="1251"/>
      <c r="AJ14" s="1251"/>
      <c r="AK14" s="1251"/>
      <c r="AM14" s="1551"/>
      <c r="AN14" s="1551" t="str">
        <f t="shared" si="0"/>
        <v>Добавить территорию для дифференциации</v>
      </c>
      <c r="AO14" s="1551"/>
      <c r="AP14" s="1551"/>
      <c r="AQ14" s="1563">
        <v>0</v>
      </c>
    </row>
    <row r="15" spans="1:43" ht="14.25" hidden="1" customHeight="1">
      <c r="AQ15" s="1558">
        <v>0</v>
      </c>
    </row>
    <row r="16" spans="1:43" ht="14.25" hidden="1" customHeight="1">
      <c r="AC16" s="1429"/>
      <c r="AD16" s="1330"/>
      <c r="AE16" s="1331"/>
      <c r="AF16" s="1662"/>
      <c r="AG16" s="1888" t="s">
        <v>71</v>
      </c>
      <c r="AH16" s="1662"/>
      <c r="AI16" s="1888" t="s">
        <v>71</v>
      </c>
      <c r="AQ16" s="1558">
        <v>0</v>
      </c>
    </row>
    <row r="17" spans="1:43" ht="14.25" hidden="1" customHeight="1">
      <c r="AL17" s="1568"/>
      <c r="AM17" s="1568"/>
      <c r="AN17" s="1568"/>
      <c r="AO17" s="1568"/>
      <c r="AP17" s="1568"/>
      <c r="AQ17" s="1558">
        <v>0</v>
      </c>
    </row>
    <row r="18" spans="1:43" ht="14.25" hidden="1" customHeight="1">
      <c r="O18" s="1272" t="s">
        <v>459</v>
      </c>
      <c r="X18" s="1272"/>
      <c r="Z18" s="1272"/>
      <c r="AF18" s="1272"/>
      <c r="AH18" s="1272"/>
      <c r="AL18" s="1568"/>
      <c r="AM18" s="1568"/>
      <c r="AN18" s="1568"/>
      <c r="AO18" s="1568"/>
      <c r="AP18" s="1568"/>
      <c r="AQ18" s="1558">
        <v>0</v>
      </c>
    </row>
    <row r="19" spans="1:43" ht="14.25" hidden="1" customHeight="1">
      <c r="AL19" s="1568"/>
      <c r="AM19" s="1568"/>
      <c r="AN19" s="1568"/>
      <c r="AO19" s="1568"/>
      <c r="AP19" s="1568"/>
      <c r="AQ19" s="1558">
        <v>0</v>
      </c>
    </row>
    <row r="20" spans="1:43" s="1436" customFormat="1" ht="14.25" hidden="1" customHeight="1">
      <c r="A20" s="1893"/>
      <c r="B20" s="1893"/>
      <c r="C20" s="1893"/>
      <c r="D20" s="1893"/>
      <c r="E20" s="1893"/>
      <c r="F20" s="1893"/>
      <c r="G20" s="1893"/>
      <c r="H20" s="1893"/>
      <c r="I20" s="1893"/>
      <c r="J20" s="1893"/>
      <c r="K20" s="1893"/>
      <c r="L20" s="1893"/>
      <c r="M20" s="1894"/>
      <c r="N20" s="1894"/>
      <c r="O20" s="1895" t="s">
        <v>460</v>
      </c>
      <c r="P20" s="1435"/>
      <c r="Q20" s="1437"/>
      <c r="R20" s="1437"/>
      <c r="Y20" s="1434" t="s">
        <v>462</v>
      </c>
      <c r="AA20" s="1434" t="s">
        <v>463</v>
      </c>
      <c r="AC20" s="1434" t="s">
        <v>516</v>
      </c>
      <c r="AG20" s="1434" t="s">
        <v>462</v>
      </c>
      <c r="AI20" s="1434" t="s">
        <v>463</v>
      </c>
      <c r="AL20" s="1438"/>
      <c r="AM20" s="1438"/>
      <c r="AN20" s="1438"/>
      <c r="AO20" s="1438"/>
      <c r="AP20" s="1438"/>
      <c r="AQ20" s="1434">
        <v>0</v>
      </c>
    </row>
    <row r="21" spans="1:43" ht="14.25" hidden="1" customHeight="1">
      <c r="O21" s="1237"/>
      <c r="AL21" s="1568"/>
      <c r="AM21" s="1568"/>
      <c r="AN21" s="1568"/>
      <c r="AO21" s="1568"/>
      <c r="AP21" s="1568"/>
      <c r="AQ21" s="1558">
        <v>0</v>
      </c>
    </row>
    <row r="22" spans="1:43" ht="14.25" hidden="1" customHeight="1">
      <c r="O22" s="1237"/>
      <c r="AL22" s="1568"/>
      <c r="AM22" s="1568"/>
      <c r="AN22" s="1568"/>
      <c r="AO22" s="1568"/>
      <c r="AP22" s="1568"/>
      <c r="AQ22" s="1558">
        <v>0</v>
      </c>
    </row>
    <row r="23" spans="1:43" ht="15" customHeight="1">
      <c r="Q23" s="229"/>
      <c r="R23" s="313"/>
      <c r="S23" s="1202"/>
      <c r="T23" s="394"/>
      <c r="U23" s="394"/>
      <c r="AQ23" s="1558">
        <v>14</v>
      </c>
    </row>
    <row r="24" spans="1:43" ht="39.75" customHeight="1">
      <c r="Q24" s="229"/>
      <c r="R24" s="313"/>
      <c r="S24" s="2877" t="str">
        <f>IF(TEMPLATE_GROUP="P",PT_P_FORM_HEAT_7_NAME_FORM,PT_R_FORM_HEAT_24_NAME_FORM)</f>
        <v>Форма 22. Информация о предложении регулируемой организации о расчетной величине платы за подключение (технологическое присоединение) к системе теплоснабжения, о расчетной величине платы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v>
      </c>
      <c r="T24" s="2877"/>
      <c r="U24" s="2877"/>
      <c r="V24" s="2877"/>
      <c r="W24" s="2877"/>
      <c r="X24" s="2877"/>
      <c r="Y24" s="2877"/>
      <c r="Z24" s="2877"/>
      <c r="AA24" s="2877"/>
      <c r="AB24" s="2877"/>
      <c r="AC24" s="2877"/>
      <c r="AD24" s="2877"/>
      <c r="AE24" s="2877"/>
      <c r="AF24" s="2877"/>
      <c r="AG24" s="2877"/>
      <c r="AH24" s="2877"/>
      <c r="AI24" s="1170"/>
      <c r="AQ24" s="1558">
        <v>38</v>
      </c>
    </row>
    <row r="25" spans="1:43" ht="15" customHeight="1">
      <c r="Q25" s="229"/>
      <c r="R25" s="313"/>
      <c r="S25" s="2849" t="str">
        <f>IF(org=0,"Не определено",org)</f>
        <v>ТМУП "ТТС"</v>
      </c>
      <c r="T25" s="2849"/>
      <c r="U25" s="2849"/>
      <c r="V25" s="2849"/>
      <c r="W25" s="2849"/>
      <c r="X25" s="2849"/>
      <c r="Y25" s="2849"/>
      <c r="Z25" s="2849"/>
      <c r="AA25" s="2849"/>
      <c r="AB25" s="2849"/>
      <c r="AC25" s="2849"/>
      <c r="AD25" s="2849"/>
      <c r="AE25" s="2849"/>
      <c r="AF25" s="2849"/>
      <c r="AG25" s="2849"/>
      <c r="AH25" s="2849"/>
      <c r="AI25" s="1170"/>
      <c r="AQ25" s="1558">
        <v>14</v>
      </c>
    </row>
    <row r="26" spans="1:43" ht="14.25" hidden="1" customHeight="1">
      <c r="Q26" s="229"/>
      <c r="R26" s="313"/>
      <c r="S26" s="1202"/>
      <c r="T26" s="394"/>
      <c r="U26" s="394"/>
      <c r="V26" s="260"/>
      <c r="W26" s="260"/>
      <c r="X26" s="260"/>
      <c r="Y26" s="260"/>
      <c r="Z26" s="260"/>
      <c r="AA26" s="260"/>
      <c r="AB26" s="260"/>
      <c r="AC26" s="260"/>
      <c r="AD26" s="260"/>
      <c r="AE26" s="260"/>
      <c r="AF26" s="260"/>
      <c r="AG26" s="260"/>
      <c r="AH26" s="260"/>
      <c r="AI26" s="260"/>
      <c r="AQ26" s="1558">
        <v>0</v>
      </c>
    </row>
    <row r="27" spans="1:43" s="1778" customFormat="1" ht="25.5" hidden="1" customHeight="1">
      <c r="A27" s="1175"/>
      <c r="B27" s="1175"/>
      <c r="C27" s="1175"/>
      <c r="D27" s="1175"/>
      <c r="E27" s="1175"/>
      <c r="F27" s="1175"/>
      <c r="G27" s="1175"/>
      <c r="H27" s="1175"/>
      <c r="I27" s="1175"/>
      <c r="J27" s="1175"/>
      <c r="K27" s="1175"/>
      <c r="L27" s="1307"/>
      <c r="M27" s="1175"/>
      <c r="N27" s="1175"/>
      <c r="O27" s="1175"/>
      <c r="P27" s="1295"/>
      <c r="Q27" s="1295"/>
      <c r="S27" s="2887" t="s">
        <v>46</v>
      </c>
      <c r="T27" s="2887"/>
      <c r="U27" s="1299"/>
      <c r="V27" s="2889" t="str">
        <f>IF(TITLE_NAME_OR_PR_CHANGE="",IF(TITLE_NAME_OR_PR="","",TITLE_NAME_OR_PR),TITLE_NAME_OR_PR_CHANGE)</f>
        <v/>
      </c>
      <c r="W27" s="2889"/>
      <c r="X27" s="2889"/>
      <c r="Y27" s="2889"/>
      <c r="Z27" s="2889"/>
      <c r="AA27" s="1562"/>
      <c r="AB27" s="1562"/>
      <c r="AC27" s="2889"/>
      <c r="AD27" s="2889"/>
      <c r="AE27" s="2889"/>
      <c r="AF27" s="2889"/>
      <c r="AG27" s="2889"/>
      <c r="AH27" s="2889"/>
      <c r="AI27" s="1562"/>
      <c r="AJ27" s="1562"/>
      <c r="AK27" s="218"/>
      <c r="AL27" s="305"/>
      <c r="AM27" s="305"/>
      <c r="AN27" s="305"/>
      <c r="AO27" s="305"/>
      <c r="AP27" s="305"/>
      <c r="AQ27" s="355">
        <v>0</v>
      </c>
    </row>
    <row r="28" spans="1:43" s="1778" customFormat="1" ht="18.75" hidden="1" customHeight="1">
      <c r="A28" s="1175"/>
      <c r="B28" s="1175"/>
      <c r="C28" s="1175"/>
      <c r="D28" s="1175"/>
      <c r="E28" s="1175"/>
      <c r="F28" s="1175"/>
      <c r="G28" s="1175"/>
      <c r="H28" s="1175"/>
      <c r="I28" s="1175"/>
      <c r="J28" s="1175"/>
      <c r="K28" s="1175"/>
      <c r="L28" s="1307"/>
      <c r="M28" s="1175"/>
      <c r="N28" s="1175"/>
      <c r="O28" s="1175"/>
      <c r="P28" s="1295"/>
      <c r="Q28" s="1295"/>
      <c r="S28" s="2887" t="s">
        <v>465</v>
      </c>
      <c r="T28" s="2887"/>
      <c r="U28" s="1299"/>
      <c r="V28" s="2888" t="str">
        <f>IF(TITLE_DATE_PR_CHANGE="",IF(TITLE_DATE_PR="","",TITLE_DATE_PR),TITLE_DATE_PR_CHANGE)</f>
        <v>14.11.2024</v>
      </c>
      <c r="W28" s="2888"/>
      <c r="X28" s="2888"/>
      <c r="Y28" s="2888"/>
      <c r="Z28" s="2888"/>
      <c r="AA28" s="1562"/>
      <c r="AB28" s="1562"/>
      <c r="AC28" s="2888"/>
      <c r="AD28" s="2888"/>
      <c r="AE28" s="2888"/>
      <c r="AF28" s="2888"/>
      <c r="AG28" s="2888"/>
      <c r="AH28" s="2888"/>
      <c r="AI28" s="1562"/>
      <c r="AJ28" s="1562"/>
      <c r="AK28" s="218"/>
      <c r="AL28" s="305"/>
      <c r="AM28" s="305"/>
      <c r="AN28" s="305"/>
      <c r="AO28" s="305"/>
      <c r="AP28" s="305"/>
      <c r="AQ28" s="355">
        <v>0</v>
      </c>
    </row>
    <row r="29" spans="1:43" s="1778" customFormat="1" ht="18.75" hidden="1" customHeight="1">
      <c r="A29" s="1175"/>
      <c r="B29" s="1175"/>
      <c r="C29" s="1175"/>
      <c r="D29" s="1175"/>
      <c r="E29" s="1175"/>
      <c r="F29" s="1175"/>
      <c r="G29" s="1175"/>
      <c r="H29" s="1175"/>
      <c r="I29" s="1175"/>
      <c r="J29" s="1175"/>
      <c r="K29" s="1175"/>
      <c r="L29" s="1307"/>
      <c r="M29" s="1175"/>
      <c r="N29" s="1175"/>
      <c r="O29" s="1175"/>
      <c r="P29" s="1295"/>
      <c r="Q29" s="1295"/>
      <c r="S29" s="2887" t="s">
        <v>466</v>
      </c>
      <c r="T29" s="2887"/>
      <c r="U29" s="1299"/>
      <c r="V29" s="2889" t="str">
        <f>IF(TITLE_NUMBER_PR_CHANGE="",IF(TITLE_NUMBER_PR="","",TITLE_NUMBER_PR),TITLE_NUMBER_PR_CHANGE)</f>
        <v>947 от 12.11.2024</v>
      </c>
      <c r="W29" s="2889"/>
      <c r="X29" s="2889"/>
      <c r="Y29" s="2889"/>
      <c r="Z29" s="2889"/>
      <c r="AA29" s="1562"/>
      <c r="AB29" s="1562"/>
      <c r="AC29" s="2889"/>
      <c r="AD29" s="2889"/>
      <c r="AE29" s="2889"/>
      <c r="AF29" s="2889"/>
      <c r="AG29" s="2889"/>
      <c r="AH29" s="2889"/>
      <c r="AI29" s="1562"/>
      <c r="AJ29" s="1562"/>
      <c r="AK29" s="218"/>
      <c r="AL29" s="305"/>
      <c r="AM29" s="305"/>
      <c r="AN29" s="305"/>
      <c r="AO29" s="305"/>
      <c r="AP29" s="305"/>
      <c r="AQ29" s="355">
        <v>0</v>
      </c>
    </row>
    <row r="30" spans="1:43" s="1778" customFormat="1" ht="18.75" hidden="1" customHeight="1">
      <c r="A30" s="1175"/>
      <c r="B30" s="1175"/>
      <c r="C30" s="1175"/>
      <c r="D30" s="1175"/>
      <c r="E30" s="1175"/>
      <c r="F30" s="1175"/>
      <c r="G30" s="1175"/>
      <c r="H30" s="1175"/>
      <c r="I30" s="1175"/>
      <c r="J30" s="1175"/>
      <c r="K30" s="1175"/>
      <c r="L30" s="1307"/>
      <c r="M30" s="1175"/>
      <c r="N30" s="1175"/>
      <c r="O30" s="1175"/>
      <c r="P30" s="1295"/>
      <c r="Q30" s="1295"/>
      <c r="S30" s="2887" t="s">
        <v>47</v>
      </c>
      <c r="T30" s="2887"/>
      <c r="U30" s="1299"/>
      <c r="V30" s="2889" t="str">
        <f>IF(TITLE_IST_PUB_CHANGE="",IF(TITLE_IST_PUB="","",TITLE_IST_PUB),TITLE_IST_PUB_CHANGE)</f>
        <v/>
      </c>
      <c r="W30" s="2889"/>
      <c r="X30" s="2889"/>
      <c r="Y30" s="2889"/>
      <c r="Z30" s="2889"/>
      <c r="AA30" s="1562"/>
      <c r="AB30" s="1562"/>
      <c r="AC30" s="2889"/>
      <c r="AD30" s="2889"/>
      <c r="AE30" s="2889"/>
      <c r="AF30" s="2889"/>
      <c r="AG30" s="2889"/>
      <c r="AH30" s="2889"/>
      <c r="AI30" s="1562"/>
      <c r="AJ30" s="1562"/>
      <c r="AK30" s="218"/>
      <c r="AL30" s="305"/>
      <c r="AM30" s="305"/>
      <c r="AN30" s="305"/>
      <c r="AO30" s="305"/>
      <c r="AP30" s="305"/>
      <c r="AQ30" s="355">
        <v>0</v>
      </c>
    </row>
    <row r="31" spans="1:43" ht="14.25" hidden="1" customHeight="1">
      <c r="Q31" s="229"/>
      <c r="R31" s="313"/>
      <c r="S31" s="1202"/>
      <c r="T31" s="394"/>
      <c r="U31" s="394"/>
      <c r="V31" s="260"/>
      <c r="W31" s="260"/>
      <c r="X31" s="260"/>
      <c r="Y31" s="260"/>
      <c r="Z31" s="260"/>
      <c r="AA31" s="260"/>
      <c r="AB31" s="260"/>
      <c r="AC31" s="260"/>
      <c r="AD31" s="260"/>
      <c r="AE31" s="260"/>
      <c r="AF31" s="260"/>
      <c r="AG31" s="260"/>
      <c r="AH31" s="260"/>
      <c r="AI31" s="260"/>
      <c r="AQ31" s="1558">
        <v>0</v>
      </c>
    </row>
    <row r="32" spans="1:43" s="1778" customFormat="1" ht="18.75" hidden="1" customHeight="1">
      <c r="A32" s="1175"/>
      <c r="B32" s="1175"/>
      <c r="C32" s="1175"/>
      <c r="D32" s="1175"/>
      <c r="E32" s="1175"/>
      <c r="F32" s="1175"/>
      <c r="G32" s="1175"/>
      <c r="H32" s="1175"/>
      <c r="I32" s="1175"/>
      <c r="J32" s="1175"/>
      <c r="K32" s="1175"/>
      <c r="L32" s="1307"/>
      <c r="M32" s="1175"/>
      <c r="N32" s="1175"/>
      <c r="O32" s="1175"/>
      <c r="P32" s="1295"/>
      <c r="Q32" s="1295"/>
      <c r="S32" s="2887" t="s">
        <v>465</v>
      </c>
      <c r="T32" s="2887"/>
      <c r="U32" s="1299"/>
      <c r="V32" s="2888" t="str">
        <f>IF(TITLE_DATE_PR_CHANGE="",IF(TITLE_DATE_PR="","",TITLE_DATE_PR),TITLE_DATE_PR_CHANGE)</f>
        <v>14.11.2024</v>
      </c>
      <c r="W32" s="2888"/>
      <c r="X32" s="2888"/>
      <c r="Y32" s="2888"/>
      <c r="Z32" s="2888"/>
      <c r="AA32" s="1562"/>
      <c r="AB32" s="1562"/>
      <c r="AC32" s="2888"/>
      <c r="AD32" s="2888"/>
      <c r="AE32" s="2888"/>
      <c r="AF32" s="2888"/>
      <c r="AG32" s="2888"/>
      <c r="AH32" s="2888"/>
      <c r="AI32" s="1562"/>
      <c r="AJ32" s="1562"/>
      <c r="AK32" s="218"/>
      <c r="AL32" s="305"/>
      <c r="AM32" s="305"/>
      <c r="AN32" s="305"/>
      <c r="AO32" s="305"/>
      <c r="AP32" s="305"/>
      <c r="AQ32" s="355">
        <v>0</v>
      </c>
    </row>
    <row r="33" spans="1:43" s="1778" customFormat="1" ht="18" hidden="1" customHeight="1">
      <c r="A33" s="1175"/>
      <c r="B33" s="1175"/>
      <c r="C33" s="1175"/>
      <c r="D33" s="1175"/>
      <c r="E33" s="1175"/>
      <c r="F33" s="1175"/>
      <c r="G33" s="1175"/>
      <c r="H33" s="1175"/>
      <c r="I33" s="1175"/>
      <c r="J33" s="1175"/>
      <c r="K33" s="1175"/>
      <c r="L33" s="1307"/>
      <c r="M33" s="1175"/>
      <c r="N33" s="1175"/>
      <c r="O33" s="1175"/>
      <c r="P33" s="1295"/>
      <c r="Q33" s="1295"/>
      <c r="S33" s="2887" t="s">
        <v>466</v>
      </c>
      <c r="T33" s="2887"/>
      <c r="U33" s="1299"/>
      <c r="V33" s="2889" t="str">
        <f>IF(TITLE_NUMBER_PR_CHANGE="",IF(TITLE_NUMBER_PR="","",TITLE_NUMBER_PR),TITLE_NUMBER_PR_CHANGE)</f>
        <v>947 от 12.11.2024</v>
      </c>
      <c r="W33" s="2889"/>
      <c r="X33" s="2889"/>
      <c r="Y33" s="2889"/>
      <c r="Z33" s="2889"/>
      <c r="AA33" s="1562"/>
      <c r="AB33" s="1562"/>
      <c r="AC33" s="2889"/>
      <c r="AD33" s="2889"/>
      <c r="AE33" s="2889"/>
      <c r="AF33" s="2889"/>
      <c r="AG33" s="2889"/>
      <c r="AH33" s="2889"/>
      <c r="AI33" s="1562"/>
      <c r="AJ33" s="1562"/>
      <c r="AK33" s="218"/>
      <c r="AL33" s="305"/>
      <c r="AM33" s="305"/>
      <c r="AN33" s="305"/>
      <c r="AO33" s="305"/>
      <c r="AP33" s="305"/>
      <c r="AQ33" s="355">
        <v>0</v>
      </c>
    </row>
    <row r="34" spans="1:43" s="1778" customFormat="1" ht="0.75" customHeight="1">
      <c r="A34" s="1175"/>
      <c r="B34" s="1175"/>
      <c r="C34" s="1175"/>
      <c r="D34" s="1175"/>
      <c r="E34" s="1175"/>
      <c r="F34" s="1175"/>
      <c r="G34" s="1175"/>
      <c r="H34" s="1175"/>
      <c r="I34" s="1175"/>
      <c r="J34" s="1175"/>
      <c r="K34" s="1175"/>
      <c r="L34" s="1307"/>
      <c r="M34" s="1175"/>
      <c r="N34" s="1175"/>
      <c r="O34" s="1175"/>
      <c r="P34" s="1295"/>
      <c r="Q34" s="1295"/>
      <c r="S34" s="1562"/>
      <c r="T34" s="1562"/>
      <c r="U34" s="1892"/>
      <c r="V34" s="1562"/>
      <c r="W34" s="1562"/>
      <c r="X34" s="1562"/>
      <c r="Y34" s="1562"/>
      <c r="Z34" s="1562"/>
      <c r="AA34" s="1569" t="s">
        <v>469</v>
      </c>
      <c r="AB34" s="1569"/>
      <c r="AC34" s="1562"/>
      <c r="AD34" s="1562"/>
      <c r="AE34" s="1562"/>
      <c r="AF34" s="1562"/>
      <c r="AG34" s="1562"/>
      <c r="AH34" s="1562"/>
      <c r="AI34" s="1569" t="s">
        <v>469</v>
      </c>
      <c r="AL34" s="305"/>
      <c r="AM34" s="305"/>
      <c r="AN34" s="305"/>
      <c r="AO34" s="305"/>
      <c r="AP34" s="305"/>
      <c r="AQ34" s="355">
        <v>1</v>
      </c>
    </row>
    <row r="35" spans="1:43" ht="15" customHeight="1">
      <c r="Q35" s="229"/>
      <c r="R35" s="313"/>
      <c r="S35" s="1202"/>
      <c r="T35" s="394"/>
      <c r="U35" s="1171"/>
      <c r="V35" s="2908"/>
      <c r="W35" s="2908"/>
      <c r="X35" s="2908"/>
      <c r="Y35" s="2908"/>
      <c r="Z35" s="2908"/>
      <c r="AA35" s="2908"/>
      <c r="AB35" s="1879"/>
      <c r="AC35" s="2908"/>
      <c r="AD35" s="2908"/>
      <c r="AE35" s="2908"/>
      <c r="AF35" s="2908"/>
      <c r="AG35" s="2908"/>
      <c r="AH35" s="2908"/>
      <c r="AI35" s="2908"/>
      <c r="AQ35" s="1558">
        <v>14</v>
      </c>
    </row>
    <row r="36" spans="1:43" ht="15" customHeight="1">
      <c r="Q36" s="229"/>
      <c r="R36" s="313"/>
      <c r="S36" s="2758" t="s">
        <v>345</v>
      </c>
      <c r="T36" s="2758"/>
      <c r="U36" s="2758"/>
      <c r="V36" s="2758"/>
      <c r="W36" s="2758"/>
      <c r="X36" s="2758"/>
      <c r="Y36" s="2758"/>
      <c r="Z36" s="2758"/>
      <c r="AA36" s="2829"/>
      <c r="AB36" s="2829"/>
      <c r="AC36" s="2829"/>
      <c r="AD36" s="2758"/>
      <c r="AE36" s="2758"/>
      <c r="AF36" s="2758"/>
      <c r="AG36" s="2758"/>
      <c r="AH36" s="2758"/>
      <c r="AI36" s="2758"/>
      <c r="AJ36" s="2758"/>
      <c r="AK36" s="2758" t="s">
        <v>346</v>
      </c>
      <c r="AQ36" s="1558">
        <v>14</v>
      </c>
    </row>
    <row r="37" spans="1:43" ht="15" customHeight="1">
      <c r="Q37" s="229"/>
      <c r="R37" s="313"/>
      <c r="S37" s="2909" t="s">
        <v>93</v>
      </c>
      <c r="T37" s="2857" t="s">
        <v>545</v>
      </c>
      <c r="U37" s="275"/>
      <c r="V37" s="2911"/>
      <c r="W37" s="2911"/>
      <c r="X37" s="2911"/>
      <c r="Y37" s="2911"/>
      <c r="Z37" s="2911"/>
      <c r="AA37" s="2857" t="s">
        <v>472</v>
      </c>
      <c r="AB37" s="2856" t="s">
        <v>546</v>
      </c>
      <c r="AC37" s="2856" t="s">
        <v>520</v>
      </c>
      <c r="AD37" s="2927" t="s">
        <v>471</v>
      </c>
      <c r="AE37" s="2927"/>
      <c r="AF37" s="2911"/>
      <c r="AG37" s="2911"/>
      <c r="AH37" s="2912"/>
      <c r="AI37" s="2913" t="s">
        <v>472</v>
      </c>
      <c r="AJ37" s="2916" t="s">
        <v>474</v>
      </c>
      <c r="AK37" s="2758"/>
      <c r="AQ37" s="1558">
        <v>14</v>
      </c>
    </row>
    <row r="38" spans="1:43" ht="36" customHeight="1">
      <c r="Q38" s="229"/>
      <c r="R38" s="313"/>
      <c r="S38" s="2909"/>
      <c r="T38" s="2857"/>
      <c r="U38" s="961"/>
      <c r="V38" s="2739" t="s">
        <v>523</v>
      </c>
      <c r="W38" s="2758"/>
      <c r="X38" s="2830" t="s">
        <v>478</v>
      </c>
      <c r="Y38" s="2939"/>
      <c r="Z38" s="2939"/>
      <c r="AA38" s="2857"/>
      <c r="AB38" s="2856"/>
      <c r="AC38" s="2856"/>
      <c r="AD38" s="2739" t="s">
        <v>523</v>
      </c>
      <c r="AE38" s="2758"/>
      <c r="AF38" s="2939" t="s">
        <v>478</v>
      </c>
      <c r="AG38" s="2939"/>
      <c r="AH38" s="2831"/>
      <c r="AI38" s="2914"/>
      <c r="AJ38" s="2917"/>
      <c r="AK38" s="2758"/>
      <c r="AQ38" s="1558">
        <v>34</v>
      </c>
    </row>
    <row r="39" spans="1:43" ht="15" customHeight="1">
      <c r="Q39" s="229"/>
      <c r="R39" s="313"/>
      <c r="S39" s="2909"/>
      <c r="T39" s="2857"/>
      <c r="U39" s="961"/>
      <c r="V39" s="2963" t="str">
        <f>IF($AD$39&lt;&gt;"",$AD$39,"")</f>
        <v/>
      </c>
      <c r="W39" s="2963"/>
      <c r="X39" s="2835"/>
      <c r="Y39" s="2940"/>
      <c r="Z39" s="2940"/>
      <c r="AA39" s="2857"/>
      <c r="AB39" s="2856"/>
      <c r="AC39" s="2856"/>
      <c r="AD39" s="2972"/>
      <c r="AE39" s="2962"/>
      <c r="AF39" s="2940"/>
      <c r="AG39" s="2940"/>
      <c r="AH39" s="2836"/>
      <c r="AI39" s="2914"/>
      <c r="AJ39" s="2917"/>
      <c r="AK39" s="2758"/>
      <c r="AQ39" s="1558">
        <v>14</v>
      </c>
    </row>
    <row r="40" spans="1:43" ht="15" customHeight="1">
      <c r="A40" s="1193"/>
      <c r="B40" s="1193" t="s">
        <v>140</v>
      </c>
      <c r="C40" s="1193" t="s">
        <v>141</v>
      </c>
      <c r="D40" s="1193" t="s">
        <v>142</v>
      </c>
      <c r="E40" s="1237" t="s">
        <v>479</v>
      </c>
      <c r="F40" s="1237" t="s">
        <v>480</v>
      </c>
      <c r="G40" s="1237" t="s">
        <v>481</v>
      </c>
      <c r="H40" s="1237" t="s">
        <v>482</v>
      </c>
      <c r="I40" s="1237" t="s">
        <v>483</v>
      </c>
      <c r="J40" s="1237" t="s">
        <v>484</v>
      </c>
      <c r="K40" s="1237" t="s">
        <v>485</v>
      </c>
      <c r="L40" s="1237" t="s">
        <v>460</v>
      </c>
      <c r="Q40" s="229"/>
      <c r="R40" s="313"/>
      <c r="S40" s="2909"/>
      <c r="T40" s="2857"/>
      <c r="U40" s="240"/>
      <c r="V40" s="1872" t="s">
        <v>524</v>
      </c>
      <c r="W40" s="1872" t="s">
        <v>525</v>
      </c>
      <c r="X40" s="1860" t="s">
        <v>488</v>
      </c>
      <c r="Y40" s="2862" t="s">
        <v>489</v>
      </c>
      <c r="Z40" s="2875"/>
      <c r="AA40" s="2857"/>
      <c r="AB40" s="2856"/>
      <c r="AC40" s="2856"/>
      <c r="AD40" s="1890" t="s">
        <v>524</v>
      </c>
      <c r="AE40" s="1881" t="s">
        <v>525</v>
      </c>
      <c r="AF40" s="1860" t="s">
        <v>488</v>
      </c>
      <c r="AG40" s="2862" t="s">
        <v>489</v>
      </c>
      <c r="AH40" s="2876"/>
      <c r="AI40" s="2915"/>
      <c r="AJ40" s="2918"/>
      <c r="AK40" s="2758"/>
      <c r="AQ40" s="1558">
        <v>14</v>
      </c>
    </row>
    <row r="41" spans="1:43" s="1568" customFormat="1" ht="11.25" hidden="1" customHeight="1">
      <c r="A41" s="1193"/>
      <c r="B41" s="1193"/>
      <c r="C41" s="1193"/>
      <c r="D41" s="1193"/>
      <c r="E41" s="1193"/>
      <c r="F41" s="1193"/>
      <c r="G41" s="1193"/>
      <c r="H41" s="1193"/>
      <c r="I41" s="1193"/>
      <c r="J41" s="1193"/>
      <c r="K41" s="1193"/>
      <c r="L41" s="1237"/>
      <c r="M41" s="1887"/>
      <c r="N41" s="1887"/>
      <c r="O41" s="1887"/>
      <c r="P41" s="447"/>
      <c r="Q41" s="1181"/>
      <c r="R41" s="1181">
        <v>1</v>
      </c>
      <c r="S41" s="1204" t="s">
        <v>114</v>
      </c>
      <c r="T41" s="1182" t="s">
        <v>115</v>
      </c>
      <c r="U41" s="1172" t="str">
        <f ca="1">OFFSET(U41,0,-1)</f>
        <v>2</v>
      </c>
      <c r="V41" s="1878">
        <f ca="1">OFFSET(V41,0,-1)+1</f>
        <v>3</v>
      </c>
      <c r="W41" s="1878">
        <f ca="1">OFFSET(W41,0,-1)+1</f>
        <v>4</v>
      </c>
      <c r="X41" s="1878">
        <f ca="1">OFFSET(X41,0,-1)+1</f>
        <v>5</v>
      </c>
      <c r="Y41" s="2907">
        <f ca="1">OFFSET(Y41,0,-1)+1</f>
        <v>6</v>
      </c>
      <c r="Z41" s="2907"/>
      <c r="AA41" s="1268">
        <f ca="1">OFFSET(AA41,0,-2)+1</f>
        <v>7</v>
      </c>
      <c r="AB41" s="1268"/>
      <c r="AC41" s="1268"/>
      <c r="AD41" s="1878">
        <f ca="1">OFFSET(AD41,0,-1)+1</f>
        <v>1</v>
      </c>
      <c r="AE41" s="1878">
        <f ca="1">OFFSET(AE41,0,-1)+1</f>
        <v>2</v>
      </c>
      <c r="AF41" s="1878">
        <f ca="1">OFFSET(AF41,0,-1)+1</f>
        <v>3</v>
      </c>
      <c r="AG41" s="2907">
        <f ca="1">OFFSET(AG41,0,-1)+1</f>
        <v>4</v>
      </c>
      <c r="AH41" s="2907"/>
      <c r="AI41" s="1878">
        <f ca="1">OFFSET(AI41,0,-2)+1</f>
        <v>5</v>
      </c>
      <c r="AJ41" s="1172">
        <f ca="1">OFFSET(AJ41,0,-1)</f>
        <v>5</v>
      </c>
      <c r="AK41" s="1878">
        <f ca="1">OFFSET(AK41,0,-1)+1</f>
        <v>6</v>
      </c>
      <c r="AL41" s="1563"/>
      <c r="AM41" s="1563"/>
      <c r="AN41" s="1563"/>
      <c r="AO41" s="1563"/>
      <c r="AP41" s="1563"/>
      <c r="AQ41" s="1568">
        <v>0</v>
      </c>
    </row>
    <row r="42" spans="1:43" ht="107.25" customHeight="1">
      <c r="A42" s="1194" t="s">
        <v>251</v>
      </c>
      <c r="B42" s="1194"/>
      <c r="C42" s="1194"/>
      <c r="D42" s="1194"/>
      <c r="E42" s="2923">
        <v>1</v>
      </c>
      <c r="F42" s="1194"/>
      <c r="G42" s="1194"/>
      <c r="H42" s="1194"/>
      <c r="I42" s="1194"/>
      <c r="J42" s="1194"/>
      <c r="K42" s="1194"/>
      <c r="L42" s="1237"/>
      <c r="M42" s="1537"/>
      <c r="N42" s="1537"/>
      <c r="O42" s="1537"/>
      <c r="P42" s="1336"/>
      <c r="Q42" s="804"/>
      <c r="R42" s="292"/>
      <c r="S42" s="1880">
        <f>INDEX(PT_DIFFERENTIATION_NUM_NTAR,MATCH(A42,PT_DIFFERENTIATION_NTAR_ID,0))</f>
        <v>0</v>
      </c>
      <c r="T42" s="1452" t="s">
        <v>128</v>
      </c>
      <c r="U42" s="238"/>
      <c r="V42" s="2891"/>
      <c r="W42" s="2891"/>
      <c r="X42" s="2891"/>
      <c r="Y42" s="2891"/>
      <c r="Z42" s="2891"/>
      <c r="AA42" s="2892"/>
      <c r="AB42" s="1874"/>
      <c r="AC42" s="2891" t="str">
        <f>INDEX(PT_DIFFERENTIATION_NTAR,MATCH(A42,PT_DIFFERENTIATION_NTAR_ID,0))</f>
        <v/>
      </c>
      <c r="AD42" s="2891"/>
      <c r="AE42" s="2891"/>
      <c r="AF42" s="2891"/>
      <c r="AG42" s="2891"/>
      <c r="AH42" s="2891"/>
      <c r="AI42" s="2891"/>
      <c r="AJ42" s="2892"/>
      <c r="AK42" s="1185" t="str">
        <f>IF(TEMPLATE_GROUP="P","По данной форме раскрывается в том числе информация о тарифах на товары (услуги) в сфере теплоснабжения в случаях, указанных в частях 12 1 - 12 4 статьи 10 Федерального закона от 27 июля 2010 г."&amp;" N 190-ФЗ ""О теплоснабжении"", теплоснабжающей организации, теплосетевой организации в ценовых зонах теплоснабжения. "&amp;"Указывается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
"&amp;"Указываются наименование органа тарифного регулирования, принявшего решение об установлении цены (тарифа) в сфере теплоснабжения, реквизиты (дата и номер) решения об установлении "&amp;"цены (тарифа), источник официального опубликования решения об установлении цены (тарифа) в сфере теплоснабжения.","По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статьи"&amp;" 23 4 Федерального закона от 27 июля 2010 г. N 190-ФЗ ""О теплоснабжении"".
"&amp;"По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190-ФЗ"&amp;" Федерального закона ""О теплоснабжении"", теплоснабжающей организации, теплосетевой организации в ценовых зонах теплоснабжения.
"&amp;"В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индивидуальном"&amp;" порядке - в тыс.руб.; в отношении льготного размера платы за подключение - в руб.
"&amp;"Указывается наименование тарифа в случае расчета нескольких тарифов. 
"&amp;"В случае наличия нескольких тарифов информация по ним указывается в отдельных строках.")</f>
        <v>По данной форме раскрывается в том числе информация о плате за подключение (технологическое присоединение) к системе теплоснабжения, применяемой в случае, установленном частью 9 статьи 23 4 Федерального закона от 27 июля 2010 г. N 190-ФЗ "О теплоснабжении".
По данной форме раскрывается в том числе информация о тарифах на товары (услуги) в сфере теплоснабжения в случаях, указанных частях 12 1 - 12 4 статьи 10 от 27 июля 2010 г. N 190-ФЗ Федерального закона "О теплоснабжении", теплоснабжающей организации, теплосетевой организации в ценовых зонах теплоснабжения.
В отношении платы за подключение в расчете на единицу мощности тепловой энергии величина платы указывается в тыс.руб./Гкал/ч; в отношении платы за подключение в индивидуальном порядке - в тыс.руб.; в отношении льготного размера платы за подключение - в руб.
Указывается наименование тарифа в случае расчета нескольких тарифов. 
В случае наличия нескольких тарифов информация по ним указывается в отдельных строках.</v>
      </c>
      <c r="AM42" s="1551"/>
      <c r="AN42" s="1551" t="str">
        <f t="shared" ref="AN42:AN56" si="1">IF(T42="","",T42)</f>
        <v>Наименование тарифа</v>
      </c>
      <c r="AO42" s="1551"/>
      <c r="AP42" s="1551"/>
      <c r="AQ42" s="1558">
        <v>102</v>
      </c>
    </row>
    <row r="43" spans="1:43" ht="21.75" customHeight="1">
      <c r="A43" s="1194" t="s">
        <v>251</v>
      </c>
      <c r="B43" s="1194" t="s">
        <v>252</v>
      </c>
      <c r="C43" s="1194"/>
      <c r="D43" s="1194"/>
      <c r="E43" s="2924"/>
      <c r="F43" s="2923">
        <v>1</v>
      </c>
      <c r="G43" s="1194"/>
      <c r="H43" s="1194"/>
      <c r="I43" s="1194"/>
      <c r="J43" s="1194"/>
      <c r="K43" s="1194"/>
      <c r="L43" s="1237"/>
      <c r="M43" s="1537"/>
      <c r="N43" s="1537"/>
      <c r="O43" s="1537"/>
      <c r="P43" s="1891"/>
      <c r="Q43" s="1338"/>
      <c r="R43" s="290"/>
      <c r="S43" s="1880" t="str">
        <f>INDEX(PT_DIFFERENTIATION_NUM_TER,MATCH(B43,PT_DIFFERENTIATION_TER_ID,0))</f>
        <v>.</v>
      </c>
      <c r="T43" s="1449" t="s">
        <v>442</v>
      </c>
      <c r="U43" s="238"/>
      <c r="V43" s="2891"/>
      <c r="W43" s="2891"/>
      <c r="X43" s="2891"/>
      <c r="Y43" s="2891"/>
      <c r="Z43" s="2891"/>
      <c r="AA43" s="2892"/>
      <c r="AB43" s="1874"/>
      <c r="AC43" s="2891" t="str">
        <f>INDEX(PT_DIFFERENTIATION_TER,MATCH(B43,PT_DIFFERENTIATION_TER_ID,0))</f>
        <v/>
      </c>
      <c r="AD43" s="2891"/>
      <c r="AE43" s="2891"/>
      <c r="AF43" s="2891"/>
      <c r="AG43" s="2891"/>
      <c r="AH43" s="2891"/>
      <c r="AI43" s="2891"/>
      <c r="AJ43" s="2892"/>
      <c r="AK43" s="1185" t="s">
        <v>443</v>
      </c>
      <c r="AM43" s="1551"/>
      <c r="AN43" s="1551" t="str">
        <f t="shared" si="1"/>
        <v>Территория действия тарифа</v>
      </c>
      <c r="AO43" s="1551"/>
      <c r="AP43" s="1551"/>
      <c r="AQ43" s="1558">
        <v>21</v>
      </c>
    </row>
    <row r="44" spans="1:43" ht="24" customHeight="1">
      <c r="A44" s="1194" t="s">
        <v>251</v>
      </c>
      <c r="B44" s="1194" t="s">
        <v>252</v>
      </c>
      <c r="C44" s="1194" t="s">
        <v>253</v>
      </c>
      <c r="D44" s="1194"/>
      <c r="E44" s="2924"/>
      <c r="F44" s="2924"/>
      <c r="G44" s="2923">
        <v>1</v>
      </c>
      <c r="H44" s="1194"/>
      <c r="I44" s="1194"/>
      <c r="J44" s="1194"/>
      <c r="K44" s="1194"/>
      <c r="L44" s="1237"/>
      <c r="M44" s="1537"/>
      <c r="N44" s="1537"/>
      <c r="O44" s="1537"/>
      <c r="P44" s="1339"/>
      <c r="Q44" s="1338"/>
      <c r="R44" s="290"/>
      <c r="S44" s="1880" t="str">
        <f>INDEX(PT_DIFFERENTIATION_NUM_CS,MATCH(C44,PT_DIFFERENTIATION_CS_ID,0))</f>
        <v>..</v>
      </c>
      <c r="T44" s="247" t="s">
        <v>444</v>
      </c>
      <c r="U44" s="238"/>
      <c r="V44" s="2891"/>
      <c r="W44" s="2891"/>
      <c r="X44" s="2891"/>
      <c r="Y44" s="2891"/>
      <c r="Z44" s="2891"/>
      <c r="AA44" s="2892"/>
      <c r="AB44" s="1874"/>
      <c r="AC44" s="2891" t="str">
        <f>INDEX(PT_DIFFERENTIATION_CS,MATCH(C44,PT_DIFFERENTIATION_CS_ID,0))</f>
        <v/>
      </c>
      <c r="AD44" s="2891"/>
      <c r="AE44" s="2891"/>
      <c r="AF44" s="2891"/>
      <c r="AG44" s="2891"/>
      <c r="AH44" s="2891"/>
      <c r="AI44" s="2891"/>
      <c r="AJ44" s="2892"/>
      <c r="AK44" s="1185" t="s">
        <v>445</v>
      </c>
      <c r="AM44" s="1551"/>
      <c r="AN44" s="1551" t="str">
        <f t="shared" si="1"/>
        <v xml:space="preserve">Наименование системы теплоснабжения </v>
      </c>
      <c r="AO44" s="1551"/>
      <c r="AP44" s="1551"/>
      <c r="AQ44" s="1558">
        <v>23</v>
      </c>
    </row>
    <row r="45" spans="1:43" ht="21.75" customHeight="1">
      <c r="A45" s="1194" t="s">
        <v>251</v>
      </c>
      <c r="B45" s="1194" t="s">
        <v>252</v>
      </c>
      <c r="C45" s="1194" t="s">
        <v>253</v>
      </c>
      <c r="D45" s="1194" t="s">
        <v>254</v>
      </c>
      <c r="E45" s="2924"/>
      <c r="F45" s="2924"/>
      <c r="G45" s="2924"/>
      <c r="H45" s="2923">
        <v>1</v>
      </c>
      <c r="I45" s="1194"/>
      <c r="J45" s="1194"/>
      <c r="K45" s="1194"/>
      <c r="L45" s="1237"/>
      <c r="M45" s="1537"/>
      <c r="N45" s="1537"/>
      <c r="O45" s="1537"/>
      <c r="P45" s="1339"/>
      <c r="Q45" s="1338"/>
      <c r="R45" s="290"/>
      <c r="S45" s="1880" t="str">
        <f>INDEX(PT_DIFFERENTIATION_NUM_IST_TE,MATCH(D45,PT_DIFFERENTIATION_IST_TE_ID,0))</f>
        <v>...</v>
      </c>
      <c r="T45" s="248" t="s">
        <v>446</v>
      </c>
      <c r="U45" s="238"/>
      <c r="V45" s="2891"/>
      <c r="W45" s="2891"/>
      <c r="X45" s="2891"/>
      <c r="Y45" s="2891"/>
      <c r="Z45" s="2891"/>
      <c r="AA45" s="2892"/>
      <c r="AB45" s="1874"/>
      <c r="AC45" s="2891" t="str">
        <f>INDEX(PT_DIFFERENTIATION_IST_TE,MATCH(D45,PT_DIFFERENTIATION_IST_TE_ID,0))</f>
        <v/>
      </c>
      <c r="AD45" s="2891"/>
      <c r="AE45" s="2891"/>
      <c r="AF45" s="2891"/>
      <c r="AG45" s="2891"/>
      <c r="AH45" s="2891"/>
      <c r="AI45" s="2891"/>
      <c r="AJ45" s="2892"/>
      <c r="AK45" s="1185" t="s">
        <v>447</v>
      </c>
      <c r="AM45" s="1551"/>
      <c r="AN45" s="1551" t="str">
        <f t="shared" si="1"/>
        <v xml:space="preserve">Источник тепловой энергии  </v>
      </c>
      <c r="AO45" s="1551"/>
      <c r="AP45" s="1551"/>
      <c r="AQ45" s="1558">
        <v>21</v>
      </c>
    </row>
    <row r="46" spans="1:43" s="1569" customFormat="1" ht="0" hidden="1" customHeight="1">
      <c r="A46" s="1302" t="s">
        <v>251</v>
      </c>
      <c r="B46" s="1302" t="s">
        <v>252</v>
      </c>
      <c r="C46" s="1302" t="s">
        <v>253</v>
      </c>
      <c r="D46" s="1302" t="s">
        <v>254</v>
      </c>
      <c r="E46" s="2924"/>
      <c r="F46" s="2924"/>
      <c r="G46" s="2924"/>
      <c r="H46" s="2924"/>
      <c r="I46" s="2758" t="str">
        <f>S45&amp;".1"</f>
        <v>....1</v>
      </c>
      <c r="J46" s="1302"/>
      <c r="K46" s="1302"/>
      <c r="L46" s="1308" t="s">
        <v>448</v>
      </c>
      <c r="M46" s="1173"/>
      <c r="N46" s="1173"/>
      <c r="O46" s="1173"/>
      <c r="P46" s="2900">
        <v>1</v>
      </c>
      <c r="Q46" s="1876"/>
      <c r="R46" s="293"/>
      <c r="S46" s="972"/>
      <c r="T46" s="1310"/>
      <c r="U46" s="1311"/>
      <c r="V46" s="2929"/>
      <c r="W46" s="2929"/>
      <c r="X46" s="2929"/>
      <c r="Y46" s="2929"/>
      <c r="Z46" s="2929"/>
      <c r="AA46" s="2930"/>
      <c r="AB46" s="1882"/>
      <c r="AC46" s="2929"/>
      <c r="AD46" s="2929"/>
      <c r="AE46" s="2929"/>
      <c r="AF46" s="2929"/>
      <c r="AG46" s="2929"/>
      <c r="AH46" s="2929"/>
      <c r="AI46" s="2929"/>
      <c r="AJ46" s="2930"/>
      <c r="AK46" s="1312"/>
      <c r="AM46" s="1551"/>
      <c r="AN46" s="1551" t="str">
        <f t="shared" si="1"/>
        <v/>
      </c>
      <c r="AO46" s="1551"/>
      <c r="AP46" s="1551"/>
      <c r="AQ46" s="1563">
        <v>0</v>
      </c>
    </row>
    <row r="47" spans="1:43" s="1569" customFormat="1" ht="0" hidden="1" customHeight="1">
      <c r="A47" s="1302" t="s">
        <v>251</v>
      </c>
      <c r="B47" s="1302" t="s">
        <v>252</v>
      </c>
      <c r="C47" s="1302" t="s">
        <v>253</v>
      </c>
      <c r="D47" s="1302" t="s">
        <v>254</v>
      </c>
      <c r="E47" s="2924"/>
      <c r="F47" s="2924"/>
      <c r="G47" s="2924"/>
      <c r="H47" s="2924"/>
      <c r="I47" s="2740"/>
      <c r="J47" s="2758" t="str">
        <f>S45&amp;".1"</f>
        <v>....1</v>
      </c>
      <c r="K47" s="1302"/>
      <c r="L47" s="1308"/>
      <c r="M47" s="1173"/>
      <c r="N47" s="1173"/>
      <c r="O47" s="1173"/>
      <c r="P47" s="2900"/>
      <c r="Q47" s="2900">
        <v>1</v>
      </c>
      <c r="R47" s="294"/>
      <c r="S47" s="972"/>
      <c r="T47" s="1326"/>
      <c r="U47" s="1311"/>
      <c r="V47" s="2929"/>
      <c r="W47" s="2929"/>
      <c r="X47" s="2929"/>
      <c r="Y47" s="2929"/>
      <c r="Z47" s="2929"/>
      <c r="AA47" s="2930"/>
      <c r="AB47" s="1882"/>
      <c r="AC47" s="2929"/>
      <c r="AD47" s="2929"/>
      <c r="AE47" s="2929"/>
      <c r="AF47" s="2929"/>
      <c r="AG47" s="2929"/>
      <c r="AH47" s="2929"/>
      <c r="AI47" s="2929"/>
      <c r="AJ47" s="2930"/>
      <c r="AK47" s="1312"/>
      <c r="AM47" s="1551"/>
      <c r="AN47" s="1551" t="str">
        <f t="shared" si="1"/>
        <v/>
      </c>
      <c r="AO47" s="1551"/>
      <c r="AP47" s="1551"/>
      <c r="AQ47" s="1563">
        <v>0</v>
      </c>
    </row>
    <row r="48" spans="1:43" ht="21.75" customHeight="1">
      <c r="A48" s="1194" t="s">
        <v>251</v>
      </c>
      <c r="B48" s="1194" t="s">
        <v>252</v>
      </c>
      <c r="C48" s="1194" t="s">
        <v>253</v>
      </c>
      <c r="D48" s="1194" t="s">
        <v>254</v>
      </c>
      <c r="E48" s="2924"/>
      <c r="F48" s="2924"/>
      <c r="G48" s="2924"/>
      <c r="H48" s="2924"/>
      <c r="I48" s="2740"/>
      <c r="J48" s="2740"/>
      <c r="K48" s="1863" t="str">
        <f>S45&amp;".1"</f>
        <v>....1</v>
      </c>
      <c r="L48" s="1237"/>
      <c r="P48" s="2900"/>
      <c r="Q48" s="2900"/>
      <c r="R48" s="294">
        <v>1</v>
      </c>
      <c r="S48" s="1884" t="str">
        <f>$K48</f>
        <v>....1</v>
      </c>
      <c r="T48" s="1883"/>
      <c r="U48" s="238"/>
      <c r="V48" s="688"/>
      <c r="W48" s="1184"/>
      <c r="X48" s="1877"/>
      <c r="Y48" s="1864" t="s">
        <v>71</v>
      </c>
      <c r="Z48" s="1877"/>
      <c r="AA48" s="1864" t="s">
        <v>71</v>
      </c>
      <c r="AB48" s="1886"/>
      <c r="AC48" s="1885" t="s">
        <v>30</v>
      </c>
      <c r="AD48" s="688"/>
      <c r="AE48" s="1184"/>
      <c r="AF48" s="1877"/>
      <c r="AG48" s="1864" t="s">
        <v>71</v>
      </c>
      <c r="AH48" s="1877"/>
      <c r="AI48" s="1864" t="s">
        <v>71</v>
      </c>
      <c r="AJ48" s="1275"/>
      <c r="AK48" s="2919" t="s">
        <v>526</v>
      </c>
      <c r="AL48" s="1563" t="e">
        <f ca="1">STRCHECKDATE(#REF!)</f>
        <v>#NAME?</v>
      </c>
      <c r="AM48" s="1551"/>
      <c r="AN48" s="1551" t="str">
        <f t="shared" si="1"/>
        <v/>
      </c>
      <c r="AO48" s="1551"/>
      <c r="AP48" s="1551"/>
      <c r="AQ48" s="1558">
        <v>21</v>
      </c>
    </row>
    <row r="49" spans="1:43" ht="11.25" customHeight="1">
      <c r="A49" s="1194" t="s">
        <v>251</v>
      </c>
      <c r="B49" s="1194" t="s">
        <v>252</v>
      </c>
      <c r="C49" s="1194" t="s">
        <v>253</v>
      </c>
      <c r="D49" s="1194" t="s">
        <v>254</v>
      </c>
      <c r="E49" s="2924"/>
      <c r="F49" s="2924"/>
      <c r="G49" s="2924"/>
      <c r="H49" s="2924"/>
      <c r="I49" s="2740"/>
      <c r="J49" s="2758"/>
      <c r="K49" s="1194"/>
      <c r="L49" s="1237"/>
      <c r="P49" s="2900"/>
      <c r="Q49" s="2900"/>
      <c r="R49" s="293"/>
      <c r="S49" s="1205"/>
      <c r="T49" s="225" t="s">
        <v>514</v>
      </c>
      <c r="U49" s="537"/>
      <c r="V49" s="537"/>
      <c r="W49" s="537"/>
      <c r="X49" s="537"/>
      <c r="Y49" s="537"/>
      <c r="Z49" s="537"/>
      <c r="AA49" s="262"/>
      <c r="AB49" s="537"/>
      <c r="AC49" s="537"/>
      <c r="AD49" s="537"/>
      <c r="AE49" s="537"/>
      <c r="AF49" s="537"/>
      <c r="AG49" s="537"/>
      <c r="AH49" s="537"/>
      <c r="AI49" s="537"/>
      <c r="AJ49" s="262"/>
      <c r="AK49" s="2921"/>
      <c r="AM49" s="1551"/>
      <c r="AN49" s="1551" t="str">
        <f t="shared" si="1"/>
        <v>Добавить строку</v>
      </c>
      <c r="AO49" s="1551"/>
      <c r="AP49" s="1551"/>
      <c r="AQ49" s="1558">
        <v>11</v>
      </c>
    </row>
    <row r="50" spans="1:43" s="1569" customFormat="1" ht="0.75" customHeight="1">
      <c r="A50" s="1302" t="s">
        <v>251</v>
      </c>
      <c r="B50" s="1302" t="s">
        <v>252</v>
      </c>
      <c r="C50" s="1302" t="s">
        <v>253</v>
      </c>
      <c r="D50" s="1302" t="s">
        <v>254</v>
      </c>
      <c r="E50" s="2924"/>
      <c r="F50" s="2924"/>
      <c r="G50" s="2924"/>
      <c r="H50" s="2924"/>
      <c r="I50" s="2758"/>
      <c r="J50" s="1302"/>
      <c r="K50" s="1302"/>
      <c r="L50" s="1308"/>
      <c r="M50" s="1173"/>
      <c r="N50" s="1173"/>
      <c r="O50" s="1173"/>
      <c r="P50" s="2900"/>
      <c r="Q50" s="1876"/>
      <c r="R50" s="293"/>
      <c r="S50" s="1313"/>
      <c r="T50" s="1314" t="s">
        <v>457</v>
      </c>
      <c r="U50" s="1315"/>
      <c r="V50" s="1315"/>
      <c r="W50" s="1315"/>
      <c r="X50" s="1315"/>
      <c r="Y50" s="1315"/>
      <c r="Z50" s="1315"/>
      <c r="AA50" s="1315"/>
      <c r="AB50" s="1315"/>
      <c r="AC50" s="1315"/>
      <c r="AD50" s="1315"/>
      <c r="AE50" s="1315"/>
      <c r="AF50" s="1315"/>
      <c r="AG50" s="1315"/>
      <c r="AH50" s="1315"/>
      <c r="AI50" s="1315"/>
      <c r="AJ50" s="1315"/>
      <c r="AK50" s="1316"/>
      <c r="AM50" s="1551"/>
      <c r="AN50" s="1551" t="str">
        <f t="shared" si="1"/>
        <v>Добавить группу потребителей</v>
      </c>
      <c r="AO50" s="1551"/>
      <c r="AP50" s="1551"/>
      <c r="AQ50" s="1563">
        <v>1</v>
      </c>
    </row>
    <row r="51" spans="1:43" s="1568" customFormat="1" ht="0.75" customHeight="1">
      <c r="A51" s="1302" t="s">
        <v>251</v>
      </c>
      <c r="B51" s="1302" t="s">
        <v>252</v>
      </c>
      <c r="C51" s="1302" t="s">
        <v>253</v>
      </c>
      <c r="D51" s="1302" t="s">
        <v>254</v>
      </c>
      <c r="E51" s="2924"/>
      <c r="F51" s="2924"/>
      <c r="G51" s="2924"/>
      <c r="H51" s="2923"/>
      <c r="I51" s="1302"/>
      <c r="J51" s="1302"/>
      <c r="K51" s="1302"/>
      <c r="L51" s="1308"/>
      <c r="M51" s="1305"/>
      <c r="N51" s="1305"/>
      <c r="O51" s="288"/>
      <c r="P51" s="317"/>
      <c r="Q51" s="1271"/>
      <c r="R51" s="1327"/>
      <c r="S51" s="1313"/>
      <c r="T51" s="1314"/>
      <c r="U51" s="1315"/>
      <c r="V51" s="1315"/>
      <c r="W51" s="1315"/>
      <c r="X51" s="1315"/>
      <c r="Y51" s="1315"/>
      <c r="Z51" s="1315"/>
      <c r="AA51" s="1315"/>
      <c r="AB51" s="1315"/>
      <c r="AC51" s="1315"/>
      <c r="AD51" s="1315"/>
      <c r="AE51" s="1315"/>
      <c r="AF51" s="1315"/>
      <c r="AG51" s="1315"/>
      <c r="AH51" s="1315"/>
      <c r="AI51" s="1315"/>
      <c r="AJ51" s="1315"/>
      <c r="AK51" s="1316"/>
      <c r="AL51" s="1563"/>
      <c r="AM51" s="1551"/>
      <c r="AN51" s="1551" t="str">
        <f t="shared" si="1"/>
        <v/>
      </c>
      <c r="AO51" s="1551"/>
      <c r="AP51" s="1551"/>
      <c r="AQ51" s="1568">
        <v>1</v>
      </c>
    </row>
    <row r="52" spans="1:43" s="1569" customFormat="1" ht="0.75" customHeight="1">
      <c r="A52" s="1302" t="s">
        <v>251</v>
      </c>
      <c r="B52" s="1302" t="s">
        <v>252</v>
      </c>
      <c r="C52" s="1302" t="s">
        <v>253</v>
      </c>
      <c r="D52" s="1301"/>
      <c r="E52" s="2924"/>
      <c r="F52" s="2924"/>
      <c r="G52" s="2923"/>
      <c r="H52" s="1301"/>
      <c r="I52" s="1301"/>
      <c r="J52" s="1301"/>
      <c r="K52" s="1301"/>
      <c r="L52" s="1304"/>
      <c r="M52" s="1305"/>
      <c r="N52" s="1305"/>
      <c r="O52" s="288"/>
      <c r="P52" s="1243"/>
      <c r="Q52" s="1244"/>
      <c r="R52" s="1243"/>
      <c r="S52" s="1249"/>
      <c r="T52" s="1252" t="s">
        <v>174</v>
      </c>
      <c r="U52" s="1251"/>
      <c r="V52" s="1251"/>
      <c r="W52" s="1251"/>
      <c r="X52" s="1251"/>
      <c r="Y52" s="1251"/>
      <c r="Z52" s="1251"/>
      <c r="AA52" s="1251"/>
      <c r="AB52" s="1251"/>
      <c r="AC52" s="1251"/>
      <c r="AD52" s="1251"/>
      <c r="AE52" s="1251"/>
      <c r="AF52" s="1251"/>
      <c r="AG52" s="1251"/>
      <c r="AH52" s="1251"/>
      <c r="AI52" s="1251"/>
      <c r="AJ52" s="1251"/>
      <c r="AK52" s="1251"/>
      <c r="AM52" s="1178"/>
      <c r="AN52" s="1178" t="str">
        <f t="shared" si="1"/>
        <v>Добавить источник для дифференциации</v>
      </c>
      <c r="AO52" s="1178"/>
      <c r="AP52" s="1178"/>
      <c r="AQ52" s="1569">
        <v>1</v>
      </c>
    </row>
    <row r="53" spans="1:43" s="1569" customFormat="1" ht="0.75" customHeight="1">
      <c r="A53" s="1302" t="s">
        <v>251</v>
      </c>
      <c r="B53" s="1302" t="s">
        <v>252</v>
      </c>
      <c r="C53" s="1301"/>
      <c r="D53" s="1301"/>
      <c r="E53" s="2924"/>
      <c r="F53" s="2923"/>
      <c r="G53" s="1301"/>
      <c r="H53" s="1301"/>
      <c r="I53" s="1301"/>
      <c r="J53" s="1301"/>
      <c r="K53" s="1301"/>
      <c r="L53" s="1304"/>
      <c r="M53" s="1306"/>
      <c r="N53" s="1306"/>
      <c r="O53" s="288"/>
      <c r="P53" s="1243"/>
      <c r="Q53" s="1244"/>
      <c r="R53" s="1243"/>
      <c r="S53" s="1249"/>
      <c r="T53" s="1252" t="s">
        <v>176</v>
      </c>
      <c r="U53" s="1251"/>
      <c r="V53" s="1251"/>
      <c r="W53" s="1251"/>
      <c r="X53" s="1251"/>
      <c r="Y53" s="1251"/>
      <c r="Z53" s="1251"/>
      <c r="AA53" s="1251"/>
      <c r="AB53" s="1251"/>
      <c r="AC53" s="1251"/>
      <c r="AD53" s="1251"/>
      <c r="AE53" s="1251"/>
      <c r="AF53" s="1251"/>
      <c r="AG53" s="1251"/>
      <c r="AH53" s="1251"/>
      <c r="AI53" s="1251"/>
      <c r="AJ53" s="1251"/>
      <c r="AK53" s="1251"/>
      <c r="AM53" s="1178"/>
      <c r="AN53" s="1178" t="str">
        <f t="shared" si="1"/>
        <v>Добавить централизованную систему для дифференциации</v>
      </c>
      <c r="AO53" s="1178"/>
      <c r="AP53" s="1178"/>
      <c r="AQ53" s="1569">
        <v>1</v>
      </c>
    </row>
    <row r="54" spans="1:43" s="1569" customFormat="1" ht="0.75" customHeight="1">
      <c r="A54" s="1302" t="s">
        <v>251</v>
      </c>
      <c r="B54" s="1302"/>
      <c r="C54" s="1302"/>
      <c r="D54" s="1302"/>
      <c r="E54" s="2924"/>
      <c r="F54" s="1302"/>
      <c r="G54" s="1302"/>
      <c r="H54" s="1302"/>
      <c r="I54" s="1302"/>
      <c r="J54" s="1302"/>
      <c r="K54" s="1302"/>
      <c r="L54" s="1308"/>
      <c r="M54" s="1306"/>
      <c r="N54" s="1306"/>
      <c r="O54" s="288"/>
      <c r="P54" s="317"/>
      <c r="Q54" s="1271"/>
      <c r="R54" s="317"/>
      <c r="S54" s="1249"/>
      <c r="T54" s="1252" t="s">
        <v>178</v>
      </c>
      <c r="U54" s="1251"/>
      <c r="V54" s="1251"/>
      <c r="W54" s="1251"/>
      <c r="X54" s="1251"/>
      <c r="Y54" s="1251"/>
      <c r="Z54" s="1251"/>
      <c r="AA54" s="1251"/>
      <c r="AB54" s="1251"/>
      <c r="AC54" s="1251"/>
      <c r="AD54" s="1251"/>
      <c r="AE54" s="1251"/>
      <c r="AF54" s="1251"/>
      <c r="AG54" s="1251"/>
      <c r="AH54" s="1251"/>
      <c r="AI54" s="1251"/>
      <c r="AJ54" s="1251"/>
      <c r="AK54" s="1251"/>
      <c r="AM54" s="1551"/>
      <c r="AN54" s="1551" t="str">
        <f t="shared" si="1"/>
        <v>Добавить территорию для дифференциации</v>
      </c>
      <c r="AO54" s="1551"/>
      <c r="AP54" s="1551"/>
      <c r="AQ54" s="1563">
        <v>1</v>
      </c>
    </row>
    <row r="55" spans="1:43" s="1569" customFormat="1" ht="0.75" customHeight="1">
      <c r="A55" s="1302" t="s">
        <v>251</v>
      </c>
      <c r="B55" s="1302"/>
      <c r="C55" s="1302"/>
      <c r="D55" s="1302"/>
      <c r="E55" s="2923"/>
      <c r="F55" s="1302"/>
      <c r="G55" s="1302"/>
      <c r="H55" s="1302"/>
      <c r="I55" s="1302"/>
      <c r="J55" s="1302"/>
      <c r="K55" s="1302"/>
      <c r="L55" s="1308"/>
      <c r="M55" s="1306"/>
      <c r="N55" s="1306"/>
      <c r="O55" s="288"/>
      <c r="P55" s="317"/>
      <c r="Q55" s="1271"/>
      <c r="R55" s="317"/>
      <c r="S55" s="1249"/>
      <c r="T55" s="1252" t="s">
        <v>178</v>
      </c>
      <c r="U55" s="1251"/>
      <c r="V55" s="1251"/>
      <c r="W55" s="1251"/>
      <c r="X55" s="1251"/>
      <c r="Y55" s="1251"/>
      <c r="Z55" s="1251"/>
      <c r="AA55" s="1251"/>
      <c r="AB55" s="1251"/>
      <c r="AC55" s="1251"/>
      <c r="AD55" s="1251"/>
      <c r="AE55" s="1251"/>
      <c r="AF55" s="1251"/>
      <c r="AG55" s="1251"/>
      <c r="AH55" s="1251"/>
      <c r="AI55" s="1251"/>
      <c r="AJ55" s="1251"/>
      <c r="AK55" s="1251"/>
      <c r="AM55" s="1551"/>
      <c r="AN55" s="1551" t="str">
        <f t="shared" si="1"/>
        <v>Добавить территорию для дифференциации</v>
      </c>
      <c r="AO55" s="1551"/>
      <c r="AP55" s="1551"/>
      <c r="AQ55" s="1563">
        <v>1</v>
      </c>
    </row>
    <row r="56" spans="1:43" s="1569" customFormat="1" ht="0.75" customHeight="1">
      <c r="A56" s="1301"/>
      <c r="B56" s="1301"/>
      <c r="C56" s="1301"/>
      <c r="D56" s="1301"/>
      <c r="E56" s="1302"/>
      <c r="F56" s="1301"/>
      <c r="G56" s="1301"/>
      <c r="H56" s="1301"/>
      <c r="I56" s="1301"/>
      <c r="J56" s="1301"/>
      <c r="K56" s="1301"/>
      <c r="L56" s="1304"/>
      <c r="M56" s="1306"/>
      <c r="N56" s="1306"/>
      <c r="O56" s="288"/>
      <c r="P56" s="1243"/>
      <c r="Q56" s="1244"/>
      <c r="R56" s="1243"/>
      <c r="S56" s="1249"/>
      <c r="T56" s="1252" t="s">
        <v>212</v>
      </c>
      <c r="U56" s="1251"/>
      <c r="V56" s="1251"/>
      <c r="W56" s="1251"/>
      <c r="X56" s="1251"/>
      <c r="Y56" s="1251"/>
      <c r="Z56" s="1251"/>
      <c r="AA56" s="1251"/>
      <c r="AB56" s="1251"/>
      <c r="AC56" s="1251"/>
      <c r="AD56" s="1251"/>
      <c r="AE56" s="1251"/>
      <c r="AF56" s="1251"/>
      <c r="AG56" s="1251"/>
      <c r="AH56" s="1251"/>
      <c r="AI56" s="1251"/>
      <c r="AJ56" s="1251"/>
      <c r="AK56" s="1251"/>
      <c r="AM56" s="1178"/>
      <c r="AN56" s="1178" t="str">
        <f t="shared" si="1"/>
        <v>Добавить наименование тарифа</v>
      </c>
      <c r="AO56" s="1178"/>
      <c r="AP56" s="1178"/>
      <c r="AQ56" s="1569">
        <v>1</v>
      </c>
    </row>
    <row r="57" spans="1:43" ht="11.25" customHeight="1">
      <c r="M57" s="1558"/>
      <c r="N57" s="1558"/>
      <c r="O57" s="1562"/>
      <c r="P57" s="1293"/>
      <c r="Q57" s="1293"/>
      <c r="R57" s="1558"/>
      <c r="S57" s="1558"/>
      <c r="AL57" s="1558"/>
      <c r="AM57" s="1558"/>
      <c r="AN57" s="1558"/>
      <c r="AO57" s="1558"/>
      <c r="AP57" s="1558"/>
      <c r="AQ57" s="1558">
        <v>11</v>
      </c>
    </row>
    <row r="58" spans="1:43" ht="20.25" customHeight="1">
      <c r="O58" s="1562"/>
      <c r="S58" s="1180"/>
      <c r="T58" s="2895"/>
      <c r="U58" s="2895"/>
      <c r="V58" s="2895"/>
      <c r="W58" s="2895"/>
      <c r="X58" s="2895"/>
      <c r="Y58" s="2895"/>
      <c r="Z58" s="2895"/>
      <c r="AA58" s="2895"/>
      <c r="AB58" s="2895"/>
      <c r="AC58" s="2895"/>
      <c r="AD58" s="2895"/>
      <c r="AE58" s="2895"/>
      <c r="AF58" s="2895"/>
      <c r="AG58" s="2895"/>
      <c r="AH58" s="2895"/>
      <c r="AI58" s="2895"/>
      <c r="AJ58" s="2895"/>
      <c r="AK58" s="2895"/>
      <c r="AQ58" s="1558">
        <v>19</v>
      </c>
    </row>
    <row r="59" spans="1:43" ht="21" customHeight="1">
      <c r="O59" s="1562"/>
      <c r="T59" s="2895"/>
      <c r="U59" s="2895"/>
      <c r="V59" s="2895"/>
      <c r="W59" s="2895"/>
      <c r="X59" s="2895"/>
      <c r="Y59" s="2895"/>
      <c r="Z59" s="2895"/>
      <c r="AA59" s="2895"/>
      <c r="AB59" s="2895"/>
      <c r="AC59" s="2895"/>
      <c r="AD59" s="2895"/>
      <c r="AE59" s="2895"/>
      <c r="AF59" s="2895"/>
      <c r="AG59" s="2895"/>
      <c r="AH59" s="2895"/>
      <c r="AI59" s="2895"/>
      <c r="AJ59" s="2895"/>
      <c r="AK59" s="2895"/>
      <c r="AQ59" s="1558">
        <v>20</v>
      </c>
    </row>
    <row r="60" spans="1:43" ht="15" customHeight="1">
      <c r="O60" s="1562"/>
      <c r="T60" s="1875"/>
      <c r="U60" s="1875"/>
      <c r="V60" s="1875"/>
      <c r="W60" s="1875"/>
      <c r="X60" s="1875"/>
      <c r="Y60" s="1875"/>
      <c r="Z60" s="1875"/>
      <c r="AA60" s="1875"/>
      <c r="AB60" s="1875"/>
      <c r="AC60" s="1875"/>
      <c r="AD60" s="1875"/>
      <c r="AE60" s="1875"/>
      <c r="AF60" s="1875"/>
      <c r="AG60" s="1875"/>
      <c r="AH60" s="1875"/>
      <c r="AI60" s="1875"/>
      <c r="AJ60" s="1875"/>
      <c r="AK60" s="1875"/>
      <c r="AQ60" s="1558">
        <v>14</v>
      </c>
    </row>
    <row r="61" spans="1:43" ht="20.25" customHeight="1">
      <c r="O61" s="1562"/>
      <c r="T61" s="2895"/>
      <c r="U61" s="2895"/>
      <c r="V61" s="2895"/>
      <c r="W61" s="2895"/>
      <c r="X61" s="2895"/>
      <c r="Y61" s="2895"/>
      <c r="Z61" s="2895"/>
      <c r="AA61" s="2895"/>
      <c r="AB61" s="2895"/>
      <c r="AC61" s="2895"/>
      <c r="AD61" s="2895"/>
      <c r="AE61" s="2895"/>
      <c r="AF61" s="2895"/>
      <c r="AG61" s="2895"/>
      <c r="AH61" s="2895"/>
      <c r="AI61" s="2895"/>
      <c r="AJ61" s="2895"/>
      <c r="AK61" s="2895"/>
      <c r="AQ61" s="1558">
        <v>19</v>
      </c>
    </row>
    <row r="62" spans="1:43" ht="16.5" customHeight="1">
      <c r="O62" s="1562"/>
      <c r="T62" s="2895"/>
      <c r="U62" s="2895"/>
      <c r="V62" s="2895"/>
      <c r="W62" s="2895"/>
      <c r="X62" s="2895"/>
      <c r="Y62" s="2895"/>
      <c r="Z62" s="2895"/>
      <c r="AA62" s="2895"/>
      <c r="AB62" s="2895"/>
      <c r="AC62" s="2895"/>
      <c r="AD62" s="2895"/>
      <c r="AE62" s="2895"/>
      <c r="AF62" s="2895"/>
      <c r="AG62" s="2895"/>
      <c r="AH62" s="2895"/>
      <c r="AI62" s="2895"/>
      <c r="AJ62" s="2895"/>
      <c r="AK62" s="2895"/>
      <c r="AQ62" s="1558">
        <v>16</v>
      </c>
    </row>
    <row r="63" spans="1:43" ht="15" customHeight="1">
      <c r="O63" s="1562"/>
      <c r="AQ63" s="1558">
        <v>14</v>
      </c>
    </row>
    <row r="64" spans="1:43" ht="22.5" hidden="1" customHeight="1">
      <c r="A64" s="1558" t="s">
        <v>87</v>
      </c>
      <c r="B64" s="1558">
        <v>0</v>
      </c>
      <c r="C64" s="1558">
        <v>0</v>
      </c>
      <c r="D64" s="1558">
        <v>0</v>
      </c>
      <c r="E64" s="1558">
        <v>0</v>
      </c>
      <c r="F64" s="1558">
        <v>0</v>
      </c>
      <c r="G64" s="1558">
        <v>0</v>
      </c>
      <c r="H64" s="1558">
        <v>0</v>
      </c>
      <c r="I64" s="1558">
        <v>0</v>
      </c>
      <c r="J64" s="1558">
        <v>0</v>
      </c>
      <c r="K64" s="1558">
        <v>0</v>
      </c>
      <c r="L64" s="1861">
        <v>0</v>
      </c>
      <c r="M64" s="1887">
        <v>0</v>
      </c>
      <c r="N64" s="1887">
        <v>0</v>
      </c>
      <c r="O64" s="1887">
        <v>0</v>
      </c>
      <c r="P64" s="1289">
        <v>3</v>
      </c>
      <c r="Q64" s="1298">
        <v>3</v>
      </c>
      <c r="R64" s="282">
        <v>3</v>
      </c>
      <c r="S64" s="518">
        <v>12</v>
      </c>
      <c r="T64" s="1558">
        <v>31</v>
      </c>
      <c r="U64" s="1558">
        <v>0</v>
      </c>
      <c r="V64" s="1558">
        <v>0</v>
      </c>
      <c r="W64" s="1558">
        <v>0</v>
      </c>
      <c r="X64" s="1558">
        <v>0</v>
      </c>
      <c r="Y64" s="1558">
        <v>0</v>
      </c>
      <c r="Z64" s="1558">
        <v>0</v>
      </c>
      <c r="AA64" s="1558">
        <v>0</v>
      </c>
      <c r="AB64" s="1558">
        <v>27</v>
      </c>
      <c r="AC64" s="1558">
        <v>24</v>
      </c>
      <c r="AD64" s="1558">
        <v>21</v>
      </c>
      <c r="AE64" s="1558">
        <v>21</v>
      </c>
      <c r="AF64" s="1558">
        <v>11</v>
      </c>
      <c r="AG64" s="1558">
        <v>3</v>
      </c>
      <c r="AH64" s="1558">
        <v>11</v>
      </c>
      <c r="AI64" s="1558">
        <v>8</v>
      </c>
      <c r="AJ64" s="1558">
        <v>4</v>
      </c>
      <c r="AK64" s="1558">
        <v>115</v>
      </c>
      <c r="AL64" s="1563">
        <v>10</v>
      </c>
      <c r="AM64" s="1563">
        <v>10</v>
      </c>
      <c r="AN64" s="1563">
        <v>10</v>
      </c>
      <c r="AO64" s="1563">
        <v>10</v>
      </c>
      <c r="AP64" s="1563">
        <v>10</v>
      </c>
      <c r="AQ64" s="1558">
        <v>23</v>
      </c>
    </row>
  </sheetData>
  <sheetProtection insertRows="0" deleteColumns="0" deleteRows="0" sort="0" autoFilter="0"/>
  <mergeCells count="89">
    <mergeCell ref="T62:AK62"/>
    <mergeCell ref="V47:AA47"/>
    <mergeCell ref="AC47:AJ47"/>
    <mergeCell ref="AK48:AK49"/>
    <mergeCell ref="T58:AK58"/>
    <mergeCell ref="T59:AK59"/>
    <mergeCell ref="T61:AK61"/>
    <mergeCell ref="P46:P50"/>
    <mergeCell ref="V46:AA46"/>
    <mergeCell ref="AC46:AJ46"/>
    <mergeCell ref="J47:J49"/>
    <mergeCell ref="Q47:Q49"/>
    <mergeCell ref="AG40:AH40"/>
    <mergeCell ref="Y41:Z41"/>
    <mergeCell ref="AG41:AH41"/>
    <mergeCell ref="E42:E55"/>
    <mergeCell ref="V42:AA42"/>
    <mergeCell ref="AC42:AJ42"/>
    <mergeCell ref="F43:F53"/>
    <mergeCell ref="V43:AA43"/>
    <mergeCell ref="AC43:AJ43"/>
    <mergeCell ref="G44:G52"/>
    <mergeCell ref="V44:AA44"/>
    <mergeCell ref="AC44:AJ44"/>
    <mergeCell ref="H45:H51"/>
    <mergeCell ref="V45:AA45"/>
    <mergeCell ref="AC45:AJ45"/>
    <mergeCell ref="I46:I50"/>
    <mergeCell ref="S36:AJ36"/>
    <mergeCell ref="AK36:AK40"/>
    <mergeCell ref="S37:S40"/>
    <mergeCell ref="T37:T40"/>
    <mergeCell ref="V37:Z37"/>
    <mergeCell ref="AA37:AA40"/>
    <mergeCell ref="AB37:AB40"/>
    <mergeCell ref="AC37:AC40"/>
    <mergeCell ref="AD37:AH37"/>
    <mergeCell ref="AI37:AI40"/>
    <mergeCell ref="AJ37:AJ40"/>
    <mergeCell ref="X38:Z39"/>
    <mergeCell ref="AD38:AE38"/>
    <mergeCell ref="AF38:AH39"/>
    <mergeCell ref="AD39:AE39"/>
    <mergeCell ref="Y40:Z40"/>
    <mergeCell ref="S33:T33"/>
    <mergeCell ref="V33:Z33"/>
    <mergeCell ref="AC33:AH33"/>
    <mergeCell ref="V35:AA35"/>
    <mergeCell ref="AC35:AI35"/>
    <mergeCell ref="S30:T30"/>
    <mergeCell ref="V30:Z30"/>
    <mergeCell ref="AC30:AH30"/>
    <mergeCell ref="S32:T32"/>
    <mergeCell ref="V32:Z32"/>
    <mergeCell ref="AC32:AH32"/>
    <mergeCell ref="S28:T28"/>
    <mergeCell ref="V28:Z28"/>
    <mergeCell ref="AC28:AH28"/>
    <mergeCell ref="S29:T29"/>
    <mergeCell ref="V29:Z29"/>
    <mergeCell ref="AC29:AH29"/>
    <mergeCell ref="AK8:AK9"/>
    <mergeCell ref="S24:AH24"/>
    <mergeCell ref="S27:T27"/>
    <mergeCell ref="V27:Z27"/>
    <mergeCell ref="AC27:AH27"/>
    <mergeCell ref="S25:AH25"/>
    <mergeCell ref="V6:AA6"/>
    <mergeCell ref="AC6:AJ6"/>
    <mergeCell ref="J7:J9"/>
    <mergeCell ref="Q7:Q9"/>
    <mergeCell ref="V7:AA7"/>
    <mergeCell ref="AC7:AJ7"/>
    <mergeCell ref="V38:W38"/>
    <mergeCell ref="V39:W39"/>
    <mergeCell ref="E2:E14"/>
    <mergeCell ref="V2:AA2"/>
    <mergeCell ref="AC2:AJ2"/>
    <mergeCell ref="F3:F13"/>
    <mergeCell ref="V3:AA3"/>
    <mergeCell ref="AC3:AJ3"/>
    <mergeCell ref="G4:G12"/>
    <mergeCell ref="V4:AA4"/>
    <mergeCell ref="AC4:AJ4"/>
    <mergeCell ref="H5:H11"/>
    <mergeCell ref="V5:AA5"/>
    <mergeCell ref="AC5:AJ5"/>
    <mergeCell ref="I6:I10"/>
    <mergeCell ref="P6:P10"/>
  </mergeCells>
  <dataValidations count="11">
    <dataValidation allowBlank="1" errorTitle="Ошибка" error="Выберите значение из списка" sqref="V39:W39"/>
    <dataValidation type="list" allowBlank="1" showInputMessage="1" showErrorMessage="1" errorTitle="Ошибка" error="Выберите значение из списка" prompt="Выберите значение из списка" sqref="AD39:AE39">
      <formula1>UNIT_CONNECT_LIST</formula1>
    </dataValidation>
    <dataValidation type="list" allowBlank="1" showInputMessage="1" showErrorMessage="1" errorTitle="Ошибка" error="Выберите значение из списка" sqref="T65584 T131120 T196656 T262192 T327728 T393264 T458800 T524336 T589872 T655408 T720944 T786480 T852016 T917552 T983088">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X65584 X131120 X196656 X262192 X327728 X393264 X458800 X524336 X589872 X655408 X720944 X786480 X852016 X917552 X983088 Z65584 Z131120 Z196656 Z262192 Z327728 Z393264 Z458800 Z524336 Z589872 Z655408 Z720944 Z786480 Z852016 Z917552 Z983088 X8 Z8 AF65584 AF131120 AF196656 AF262192 AF327728 AF393264 AF458800 AF524336 AF589872 AF655408 AF720944 AF786480 AF852016 AF917552 AF983088 AH65584 AH131120 AH196656 AH262192 AH327728 AH393264 AH458800 AH524336 AH589872 AH655408 AH720944 AH786480 AH852016 AH917552 AH983088 AH8 AH48 AH16 AF16 AF8 AF48 Z48 X48"/>
    <dataValidation allowBlank="1" promptTitle="checkPeriodRange" sqref="W65585 W131121 W196657 W262193 W327729 W393265 W458801 W524337 W589873 W655409 W720945 W786481 W852017 W917553 W983089 AE65585 AE131121 AE196657 AE262193 AE327729 AE393265 AE458801 AE524337 AE589873 AE655409 AE720945 AE786481 AE852017 AE917553 AE983089"/>
    <dataValidation type="textLength" operator="lessThanOrEqual" allowBlank="1" showInputMessage="1" showErrorMessage="1" errorTitle="Ошибка" error="Допускается ввод не более 900 символов!" sqref="AK65578:AK65585 AK131114:AK131121 AK196650:AK196657 AK262186:AK262193 AK327722:AK327729 AK393258:AK393265 AK458794:AK458801 AK524330:AK524337 AK589866:AK589873 AK655402:AK655409 AK720938:AK720945 AK786474:AK786481 AK852010:AK852017 AK917546:AK917553 AK983082:AK983089 T8 T48 AB48 AB8">
      <formula1>900</formula1>
    </dataValidation>
    <dataValidation allowBlank="1" showInputMessage="1" showErrorMessage="1" prompt="Для выбора выполните двойной щелчок левой клавиши мыши по соответствующей ячейке." sqref="Y65584 Y131120 Y196656 Y262192 Y327728 Y393264 Y458800 Y524336 Y589872 Y655408 Y720944 Y786480 Y852016 Y917552 Y983088 AA131120:AB131120 AA458800:AB458800 AA196656:AB196656 AA262192:AB262192 AA327728:AB327728 AA393264:AB393264 AA524336:AB524336 AA589872:AB589872 AA655408:AB655408 AA720944:AB720944 AA786480:AB786480 AA852016:AB852016 AA917552:AB917552 AA983088:AB983088 AA65584:AB65584 AG48 Y8 AG65584 AG131120 AG196656 AG262192 AG327728 AG393264 AG458800 AG524336 AG589872 AG655408 AG720944 AG786480 AG852016 AG917552 AG983088 AI131120 AI458800 AI196656 AI262192 AI327728 AI393264 AI524336 AI589872 AI655408 AI720944 AI786480 AI852016 AI917552 AI983088 AI65584 AG8 AA48 AG16 AI48 AI16 AC16 Y48 AI8 AA8"/>
    <dataValidation type="list" allowBlank="1" showInputMessage="1" showErrorMessage="1" errorTitle="Ошибка" error="Выберите значение из списка" sqref="AC983086 AC917550 AC852014 AC786478 AC720942 AC655406 AC589870 AC524334 AC458798 AC393262 AC327726 AC262190 AC196654 AC131118 AC65582">
      <formula1>kind_of_scheme_in</formula1>
    </dataValidation>
    <dataValidation type="list" allowBlank="1" showInputMessage="1" errorTitle="Ошибка" error="Выберите значение из списка" prompt="Выберите значение из списка" sqref="V917551:AJ917551 V983087:AJ983087 V65583:AJ65583 V131119:AJ131119 V196655:AJ196655 V262191:AJ262191 V327727:AJ327727 V393263:AJ393263 V458799:AJ458799 V524335:AJ524335 V589871:AJ589871 V655407:AJ655407 V720943:AJ720943 V786479:AJ786479 V852015:AJ852015">
      <formula1>kind_of_cons</formula1>
    </dataValidation>
    <dataValidation allowBlank="1" sqref="S131122:AK131128 S196658:AK196664 S262194:AK262200 S327730:AK327736 S393266:AK393272 S458802:AK458808 S524338:AK524344 S589874:AK589880 S655410:AK655416 S720946:AK720952 S786482:AK786488 S852018:AK852024 S917554:AK917560 S983090:AK983096 S65586:AK65592"/>
    <dataValidation type="decimal" allowBlank="1" showErrorMessage="1" errorTitle="Ошибка" error="Допускается ввод только действительных чисел!" sqref="AC48 AC8">
      <formula1>-9.99999999999999E+23</formula1>
      <formula2>9.99999999999999E+23</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896">
        <v>1</v>
      </c>
      <c r="F2" s="1290"/>
      <c r="G2" s="1290"/>
      <c r="H2" s="1290"/>
      <c r="I2" s="1290"/>
      <c r="J2" s="1290"/>
      <c r="K2" s="1290"/>
      <c r="L2" s="1291"/>
      <c r="M2" s="1292"/>
      <c r="N2" s="1292"/>
      <c r="O2" s="1292"/>
      <c r="P2" s="1336"/>
      <c r="Q2" s="804"/>
      <c r="R2" s="292"/>
      <c r="S2" s="1392" t="e">
        <f>INDEX(PT_DIFFERENTIATION_NUM_NTAR,MATCH(A2,PT_DIFFERENTIATION_NTAR_ID,0))</f>
        <v>#N/A</v>
      </c>
      <c r="T2" s="236" t="s">
        <v>128</v>
      </c>
      <c r="U2" s="238"/>
      <c r="V2" s="2891"/>
      <c r="W2" s="2891"/>
      <c r="X2" s="2891"/>
      <c r="Y2" s="2891"/>
      <c r="Z2" s="2891"/>
      <c r="AA2" s="2891"/>
      <c r="AB2" s="2891"/>
      <c r="AC2" s="2892"/>
      <c r="AD2" s="2890" t="e">
        <f>INDEX(PT_DIFFERENTIATION_NTAR,MATCH(A2,PT_DIFFERENTIATION_NTAR_ID,0))</f>
        <v>#N/A</v>
      </c>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897"/>
      <c r="F3" s="2896">
        <v>1</v>
      </c>
      <c r="G3" s="1290"/>
      <c r="H3" s="1290"/>
      <c r="I3" s="1290"/>
      <c r="J3" s="1290"/>
      <c r="K3" s="1290"/>
      <c r="L3" s="1291"/>
      <c r="M3" s="1292"/>
      <c r="N3" s="1292"/>
      <c r="O3" s="1292"/>
      <c r="P3" s="1337"/>
      <c r="Q3" s="1338"/>
      <c r="R3" s="290"/>
      <c r="S3" s="1392" t="e">
        <f>INDEX(PT_DIFFERENTIATION_NUM_TER,MATCH(B3,PT_DIFFERENTIATION_TER_ID,0))</f>
        <v>#N/A</v>
      </c>
      <c r="T3" s="246" t="s">
        <v>442</v>
      </c>
      <c r="U3" s="238"/>
      <c r="V3" s="2891"/>
      <c r="W3" s="2891"/>
      <c r="X3" s="2891"/>
      <c r="Y3" s="2891"/>
      <c r="Z3" s="2891"/>
      <c r="AA3" s="2891"/>
      <c r="AB3" s="2891"/>
      <c r="AC3" s="2892"/>
      <c r="AD3" s="2890" t="e">
        <f>INDEX(PT_DIFFERENTIATION_TER,MATCH(B3,PT_DIFFERENTIATION_TER_ID,0))</f>
        <v>#N/A</v>
      </c>
      <c r="AE3" s="2891"/>
      <c r="AF3" s="2891"/>
      <c r="AG3" s="2891"/>
      <c r="AH3" s="2891"/>
      <c r="AI3" s="2891"/>
      <c r="AJ3" s="2891"/>
      <c r="AK3" s="2891"/>
      <c r="AL3" s="2891"/>
      <c r="AM3" s="2891"/>
      <c r="AN3" s="2891"/>
      <c r="AO3" s="2891"/>
      <c r="AP3" s="2891"/>
      <c r="AQ3" s="2891"/>
      <c r="AR3" s="2891"/>
      <c r="AS3" s="2891"/>
      <c r="AT3" s="2891"/>
      <c r="AU3" s="2891"/>
      <c r="AV3" s="2891"/>
      <c r="AW3" s="2891"/>
      <c r="AX3" s="2891"/>
      <c r="AY3" s="2891"/>
      <c r="AZ3" s="2891"/>
      <c r="BA3" s="2891"/>
      <c r="BB3" s="2892"/>
      <c r="BC3" s="1185" t="s">
        <v>443</v>
      </c>
      <c r="BE3" s="437"/>
      <c r="BF3" s="437" t="str">
        <f t="shared" si="0"/>
        <v>Территория действия тарифа</v>
      </c>
      <c r="BG3" s="437"/>
      <c r="BH3" s="437"/>
      <c r="BI3" s="1082">
        <v>0</v>
      </c>
    </row>
    <row r="4" spans="1:61" ht="42" hidden="1" customHeight="1">
      <c r="A4" s="1290"/>
      <c r="B4" s="1290"/>
      <c r="C4" s="1290"/>
      <c r="D4" s="1290"/>
      <c r="E4" s="2897"/>
      <c r="F4" s="2897"/>
      <c r="G4" s="2896">
        <v>1</v>
      </c>
      <c r="H4" s="1290"/>
      <c r="I4" s="1290"/>
      <c r="J4" s="1290"/>
      <c r="K4" s="1290"/>
      <c r="L4" s="1291"/>
      <c r="M4" s="1292"/>
      <c r="N4" s="1292"/>
      <c r="O4" s="1292"/>
      <c r="P4" s="1339"/>
      <c r="Q4" s="1338"/>
      <c r="R4" s="290"/>
      <c r="S4" s="1392" t="e">
        <f>INDEX(PT_DIFFERENTIATION_NUM_CS,MATCH(C4,PT_DIFFERENTIATION_CS_ID,0))</f>
        <v>#N/A</v>
      </c>
      <c r="T4" s="247" t="s">
        <v>527</v>
      </c>
      <c r="U4" s="238"/>
      <c r="V4" s="2891"/>
      <c r="W4" s="2891"/>
      <c r="X4" s="2891"/>
      <c r="Y4" s="2891"/>
      <c r="Z4" s="2891"/>
      <c r="AA4" s="2891"/>
      <c r="AB4" s="2891"/>
      <c r="AC4" s="2892"/>
      <c r="AD4" s="2890" t="e">
        <f>INDEX(PT_DIFFERENTIATION_CS,MATCH(C4,PT_DIFFERENTIATION_CS_ID,0))</f>
        <v>#N/A</v>
      </c>
      <c r="AE4" s="2891"/>
      <c r="AF4" s="2891"/>
      <c r="AG4" s="2891"/>
      <c r="AH4" s="2891"/>
      <c r="AI4" s="2891"/>
      <c r="AJ4" s="2891"/>
      <c r="AK4" s="2891"/>
      <c r="AL4" s="2891"/>
      <c r="AM4" s="2891"/>
      <c r="AN4" s="2891"/>
      <c r="AO4" s="2891"/>
      <c r="AP4" s="2891"/>
      <c r="AQ4" s="2891"/>
      <c r="AR4" s="2891"/>
      <c r="AS4" s="2891"/>
      <c r="AT4" s="2891"/>
      <c r="AU4" s="2891"/>
      <c r="AV4" s="2891"/>
      <c r="AW4" s="2891"/>
      <c r="AX4" s="2891"/>
      <c r="AY4" s="2891"/>
      <c r="AZ4" s="2891"/>
      <c r="BA4" s="2891"/>
      <c r="BB4" s="2892"/>
      <c r="BC4" s="1185" t="s">
        <v>528</v>
      </c>
      <c r="BE4" s="437"/>
      <c r="BF4" s="437" t="str">
        <f t="shared" si="0"/>
        <v>Наименование централизованной системы холодного водоснабжения</v>
      </c>
      <c r="BG4" s="437"/>
      <c r="BH4" s="437"/>
      <c r="BI4" s="1082">
        <v>0</v>
      </c>
    </row>
    <row r="5" spans="1:61" s="1569" customFormat="1" ht="14.25" hidden="1" customHeight="1">
      <c r="A5" s="1270"/>
      <c r="B5" s="1270"/>
      <c r="C5" s="1270"/>
      <c r="D5" s="1270"/>
      <c r="E5" s="2897"/>
      <c r="F5" s="2897"/>
      <c r="G5" s="2897"/>
      <c r="H5" s="2896">
        <v>1</v>
      </c>
      <c r="I5" s="1270"/>
      <c r="J5" s="1270"/>
      <c r="K5" s="1270"/>
      <c r="L5" s="1273"/>
      <c r="M5" s="1242"/>
      <c r="N5" s="1242"/>
      <c r="O5" s="1242"/>
      <c r="P5" s="1424"/>
      <c r="Q5" s="1425"/>
      <c r="R5" s="294"/>
      <c r="S5" s="972"/>
      <c r="T5" s="1426"/>
      <c r="U5" s="1311"/>
      <c r="V5" s="2929"/>
      <c r="W5" s="2929"/>
      <c r="X5" s="2929"/>
      <c r="Y5" s="2929"/>
      <c r="Z5" s="2929"/>
      <c r="AA5" s="2929"/>
      <c r="AB5" s="2929"/>
      <c r="AC5" s="2930"/>
      <c r="AD5" s="2928"/>
      <c r="AE5" s="2929"/>
      <c r="AF5" s="2929"/>
      <c r="AG5" s="2929"/>
      <c r="AH5" s="2929"/>
      <c r="AI5" s="2929"/>
      <c r="AJ5" s="2929"/>
      <c r="AK5" s="2929"/>
      <c r="AL5" s="2929"/>
      <c r="AM5" s="2929"/>
      <c r="AN5" s="2929"/>
      <c r="AO5" s="2929"/>
      <c r="AP5" s="2929"/>
      <c r="AQ5" s="2929"/>
      <c r="AR5" s="2929"/>
      <c r="AS5" s="2929"/>
      <c r="AT5" s="2929"/>
      <c r="AU5" s="2929"/>
      <c r="AV5" s="2929"/>
      <c r="AW5" s="2929"/>
      <c r="AX5" s="2929"/>
      <c r="AY5" s="2929"/>
      <c r="AZ5" s="2929"/>
      <c r="BA5" s="2929"/>
      <c r="BB5" s="2930"/>
      <c r="BC5" s="1312" t="s">
        <v>447</v>
      </c>
      <c r="BE5" s="437"/>
      <c r="BF5" s="437" t="str">
        <f t="shared" si="0"/>
        <v/>
      </c>
      <c r="BG5" s="437"/>
      <c r="BH5" s="437"/>
      <c r="BI5" s="448">
        <v>0</v>
      </c>
    </row>
    <row r="6" spans="1:61" s="1569" customFormat="1" ht="14.25" hidden="1" customHeight="1">
      <c r="A6" s="1270"/>
      <c r="B6" s="1270"/>
      <c r="C6" s="1270"/>
      <c r="D6" s="1270"/>
      <c r="E6" s="2897"/>
      <c r="F6" s="2897"/>
      <c r="G6" s="2897"/>
      <c r="H6" s="2897"/>
      <c r="I6" s="2898" t="str">
        <f>S5&amp;".1"</f>
        <v>.1</v>
      </c>
      <c r="J6" s="1270"/>
      <c r="K6" s="1270"/>
      <c r="L6" s="1273" t="s">
        <v>448</v>
      </c>
      <c r="M6" s="447"/>
      <c r="N6" s="447"/>
      <c r="O6" s="447"/>
      <c r="P6" s="2900">
        <v>1</v>
      </c>
      <c r="Q6" s="1389"/>
      <c r="R6" s="293"/>
      <c r="S6" s="972"/>
      <c r="T6" s="1310"/>
      <c r="U6" s="1311"/>
      <c r="V6" s="2929"/>
      <c r="W6" s="2929"/>
      <c r="X6" s="2929"/>
      <c r="Y6" s="2929"/>
      <c r="Z6" s="2929"/>
      <c r="AA6" s="2929"/>
      <c r="AB6" s="2929"/>
      <c r="AC6" s="2930"/>
      <c r="AD6" s="2928"/>
      <c r="AE6" s="2929"/>
      <c r="AF6" s="2929"/>
      <c r="AG6" s="2929"/>
      <c r="AH6" s="2929"/>
      <c r="AI6" s="2929"/>
      <c r="AJ6" s="2929"/>
      <c r="AK6" s="2929"/>
      <c r="AL6" s="2929"/>
      <c r="AM6" s="2929"/>
      <c r="AN6" s="2929"/>
      <c r="AO6" s="2929"/>
      <c r="AP6" s="2929"/>
      <c r="AQ6" s="2929"/>
      <c r="AR6" s="2929"/>
      <c r="AS6" s="2929"/>
      <c r="AT6" s="2929"/>
      <c r="AU6" s="2929"/>
      <c r="AV6" s="2929"/>
      <c r="AW6" s="2929"/>
      <c r="AX6" s="2929"/>
      <c r="AY6" s="2929"/>
      <c r="AZ6" s="2929"/>
      <c r="BA6" s="2929"/>
      <c r="BB6" s="2930"/>
      <c r="BC6" s="1312"/>
      <c r="BE6" s="437"/>
      <c r="BF6" s="437" t="str">
        <f t="shared" si="0"/>
        <v/>
      </c>
      <c r="BG6" s="437"/>
      <c r="BH6" s="437"/>
      <c r="BI6" s="448">
        <v>0</v>
      </c>
    </row>
    <row r="7" spans="1:61" s="1569" customFormat="1" ht="14.25" hidden="1" customHeight="1">
      <c r="A7" s="1270"/>
      <c r="B7" s="1270"/>
      <c r="C7" s="1270"/>
      <c r="D7" s="1270"/>
      <c r="E7" s="2897"/>
      <c r="F7" s="2897"/>
      <c r="G7" s="2897"/>
      <c r="H7" s="2897"/>
      <c r="I7" s="2899"/>
      <c r="J7" s="2898" t="str">
        <f>S5&amp;".1"</f>
        <v>.1</v>
      </c>
      <c r="K7" s="1270"/>
      <c r="L7" s="1273"/>
      <c r="M7" s="447"/>
      <c r="N7" s="447"/>
      <c r="O7" s="447"/>
      <c r="P7" s="2900"/>
      <c r="Q7" s="2900">
        <v>1</v>
      </c>
      <c r="R7" s="294"/>
      <c r="S7" s="972"/>
      <c r="T7" s="1326"/>
      <c r="U7" s="1311"/>
      <c r="V7" s="2929"/>
      <c r="W7" s="2929"/>
      <c r="X7" s="2929"/>
      <c r="Y7" s="2929"/>
      <c r="Z7" s="2929"/>
      <c r="AA7" s="2929"/>
      <c r="AB7" s="2929"/>
      <c r="AC7" s="2930"/>
      <c r="AD7" s="2928"/>
      <c r="AE7" s="2929"/>
      <c r="AF7" s="2929"/>
      <c r="AG7" s="2929"/>
      <c r="AH7" s="2929"/>
      <c r="AI7" s="2929"/>
      <c r="AJ7" s="2929"/>
      <c r="AK7" s="2929"/>
      <c r="AL7" s="2929"/>
      <c r="AM7" s="2929"/>
      <c r="AN7" s="2929"/>
      <c r="AO7" s="2929"/>
      <c r="AP7" s="2929"/>
      <c r="AQ7" s="2929"/>
      <c r="AR7" s="2929"/>
      <c r="AS7" s="2929"/>
      <c r="AT7" s="2929"/>
      <c r="AU7" s="2929"/>
      <c r="AV7" s="2929"/>
      <c r="AW7" s="2929"/>
      <c r="AX7" s="2929"/>
      <c r="AY7" s="2929"/>
      <c r="AZ7" s="2929"/>
      <c r="BA7" s="2929"/>
      <c r="BB7" s="2930"/>
      <c r="BC7" s="1312"/>
      <c r="BE7" s="437"/>
      <c r="BF7" s="437" t="str">
        <f t="shared" si="0"/>
        <v/>
      </c>
      <c r="BG7" s="437"/>
      <c r="BH7" s="437"/>
      <c r="BI7" s="448">
        <v>0</v>
      </c>
    </row>
    <row r="8" spans="1:61" ht="11.25" hidden="1" customHeight="1">
      <c r="A8" s="1290"/>
      <c r="B8" s="1290"/>
      <c r="C8" s="1290"/>
      <c r="D8" s="1290"/>
      <c r="E8" s="2897"/>
      <c r="F8" s="2897"/>
      <c r="G8" s="2897"/>
      <c r="H8" s="2897"/>
      <c r="I8" s="2899"/>
      <c r="J8" s="2899"/>
      <c r="K8" s="2898" t="e">
        <f>S4&amp;".1"</f>
        <v>#N/A</v>
      </c>
      <c r="L8" s="1291"/>
      <c r="P8" s="2900"/>
      <c r="Q8" s="2900"/>
      <c r="R8" s="2957">
        <v>1</v>
      </c>
      <c r="S8" s="2954" t="e">
        <f>$K8</f>
        <v>#N/A</v>
      </c>
      <c r="T8" s="2974"/>
      <c r="U8" s="238"/>
      <c r="V8" s="688"/>
      <c r="W8" s="1184"/>
      <c r="X8" s="688"/>
      <c r="Y8" s="1184"/>
      <c r="Z8" s="1660"/>
      <c r="AA8" s="1386" t="s">
        <v>71</v>
      </c>
      <c r="AB8" s="1660"/>
      <c r="AC8" s="1386" t="s">
        <v>71</v>
      </c>
      <c r="AD8" s="2821" t="s">
        <v>71</v>
      </c>
      <c r="AE8" s="2950"/>
      <c r="AF8" s="2853">
        <v>1</v>
      </c>
      <c r="AG8" s="2973"/>
      <c r="AH8" s="2768" t="s">
        <v>71</v>
      </c>
      <c r="AI8" s="2950"/>
      <c r="AJ8" s="2853">
        <v>1</v>
      </c>
      <c r="AK8" s="2964" t="s">
        <v>30</v>
      </c>
      <c r="AL8" s="2768" t="s">
        <v>71</v>
      </c>
      <c r="AM8" s="2830"/>
      <c r="AN8" s="2853">
        <v>1</v>
      </c>
      <c r="AO8" s="2977"/>
      <c r="AP8" s="2978" t="s">
        <v>71</v>
      </c>
      <c r="AQ8" s="249"/>
      <c r="AR8" s="1390">
        <v>1</v>
      </c>
      <c r="AS8" s="1393" t="s">
        <v>30</v>
      </c>
      <c r="AT8" s="688"/>
      <c r="AU8" s="1184"/>
      <c r="AV8" s="688"/>
      <c r="AW8" s="1184"/>
      <c r="AX8" s="1660"/>
      <c r="AY8" s="1386" t="s">
        <v>71</v>
      </c>
      <c r="AZ8" s="1660"/>
      <c r="BA8" s="1386" t="s">
        <v>71</v>
      </c>
      <c r="BB8" s="1275"/>
      <c r="BC8" s="2919" t="s">
        <v>547</v>
      </c>
      <c r="BE8" s="437"/>
      <c r="BF8" s="437" t="str">
        <f t="shared" si="0"/>
        <v/>
      </c>
      <c r="BG8" s="437"/>
      <c r="BH8" s="437"/>
      <c r="BI8" s="1082">
        <v>0</v>
      </c>
    </row>
    <row r="9" spans="1:61" ht="11.25" hidden="1" customHeight="1">
      <c r="A9" s="1290"/>
      <c r="B9" s="1290"/>
      <c r="C9" s="1290"/>
      <c r="D9" s="1290"/>
      <c r="E9" s="2897"/>
      <c r="F9" s="2897"/>
      <c r="G9" s="2897"/>
      <c r="H9" s="2897"/>
      <c r="I9" s="2899"/>
      <c r="J9" s="2899"/>
      <c r="K9" s="2898"/>
      <c r="L9" s="1291"/>
      <c r="P9" s="2900"/>
      <c r="Q9" s="2900"/>
      <c r="R9" s="2957"/>
      <c r="S9" s="2955"/>
      <c r="T9" s="2975"/>
      <c r="U9" s="238"/>
      <c r="V9" s="1320"/>
      <c r="W9" s="1423"/>
      <c r="X9" s="1320"/>
      <c r="Y9" s="1423"/>
      <c r="Z9" s="1320"/>
      <c r="AA9" s="1320"/>
      <c r="AB9" s="1320"/>
      <c r="AC9" s="1320"/>
      <c r="AD9" s="2822"/>
      <c r="AE9" s="2950"/>
      <c r="AF9" s="2853"/>
      <c r="AG9" s="2973"/>
      <c r="AH9" s="2768"/>
      <c r="AI9" s="2950"/>
      <c r="AJ9" s="2853"/>
      <c r="AK9" s="2964"/>
      <c r="AL9" s="2768"/>
      <c r="AM9" s="2835"/>
      <c r="AN9" s="2853"/>
      <c r="AO9" s="2977"/>
      <c r="AP9" s="2979"/>
      <c r="AQ9" s="254"/>
      <c r="AR9" s="353"/>
      <c r="AS9" s="353" t="s">
        <v>548</v>
      </c>
      <c r="AT9" s="1320"/>
      <c r="AU9" s="1423"/>
      <c r="AV9" s="1320"/>
      <c r="AW9" s="1423"/>
      <c r="AX9" s="1320"/>
      <c r="AY9" s="1320"/>
      <c r="AZ9" s="1320"/>
      <c r="BA9" s="1320"/>
      <c r="BB9" s="1324"/>
      <c r="BC9" s="2920"/>
      <c r="BE9" s="437"/>
      <c r="BF9" s="437"/>
      <c r="BG9" s="437"/>
      <c r="BH9" s="437"/>
      <c r="BI9" s="1082">
        <v>0</v>
      </c>
    </row>
    <row r="10" spans="1:61" ht="11.25" hidden="1" customHeight="1">
      <c r="A10" s="1290"/>
      <c r="B10" s="1290"/>
      <c r="C10" s="1290"/>
      <c r="D10" s="1290"/>
      <c r="E10" s="2897"/>
      <c r="F10" s="2897"/>
      <c r="G10" s="2897"/>
      <c r="H10" s="2897"/>
      <c r="I10" s="2899"/>
      <c r="J10" s="2899"/>
      <c r="K10" s="2898"/>
      <c r="L10" s="1291"/>
      <c r="P10" s="2900"/>
      <c r="Q10" s="2900"/>
      <c r="R10" s="2957"/>
      <c r="S10" s="2955"/>
      <c r="T10" s="2975"/>
      <c r="U10" s="238"/>
      <c r="V10" s="1320"/>
      <c r="W10" s="1423"/>
      <c r="X10" s="1320"/>
      <c r="Y10" s="1423"/>
      <c r="Z10" s="1320"/>
      <c r="AA10" s="1320"/>
      <c r="AB10" s="1320"/>
      <c r="AC10" s="1320"/>
      <c r="AD10" s="2822"/>
      <c r="AE10" s="2950"/>
      <c r="AF10" s="2853"/>
      <c r="AG10" s="2973"/>
      <c r="AH10" s="2768"/>
      <c r="AI10" s="2950"/>
      <c r="AJ10" s="2853"/>
      <c r="AK10" s="2964"/>
      <c r="AL10" s="2768"/>
      <c r="AM10" s="254"/>
      <c r="AN10" s="1427"/>
      <c r="AO10" s="1427" t="s">
        <v>549</v>
      </c>
      <c r="AP10" s="353"/>
      <c r="AQ10" s="353"/>
      <c r="AR10" s="353"/>
      <c r="AS10" s="1320"/>
      <c r="AT10" s="1320"/>
      <c r="AU10" s="1423"/>
      <c r="AV10" s="1320"/>
      <c r="AW10" s="1423"/>
      <c r="AX10" s="1320"/>
      <c r="AY10" s="1320"/>
      <c r="AZ10" s="1320"/>
      <c r="BA10" s="1320"/>
      <c r="BB10" s="1324"/>
      <c r="BC10" s="2920"/>
      <c r="BE10" s="437"/>
      <c r="BF10" s="437"/>
      <c r="BG10" s="437"/>
      <c r="BH10" s="437"/>
      <c r="BI10" s="1082">
        <v>0</v>
      </c>
    </row>
    <row r="11" spans="1:61" ht="11.25" hidden="1" customHeight="1">
      <c r="A11" s="1290"/>
      <c r="B11" s="1290"/>
      <c r="C11" s="1290"/>
      <c r="D11" s="1290"/>
      <c r="E11" s="2897"/>
      <c r="F11" s="2897"/>
      <c r="G11" s="2897"/>
      <c r="H11" s="2897"/>
      <c r="I11" s="2899"/>
      <c r="J11" s="2899"/>
      <c r="K11" s="2898"/>
      <c r="L11" s="1291"/>
      <c r="P11" s="2900"/>
      <c r="Q11" s="2900"/>
      <c r="R11" s="2957"/>
      <c r="S11" s="2955"/>
      <c r="T11" s="2975"/>
      <c r="U11" s="238"/>
      <c r="V11" s="1320"/>
      <c r="W11" s="1423"/>
      <c r="X11" s="1320"/>
      <c r="Y11" s="1423"/>
      <c r="Z11" s="1320"/>
      <c r="AA11" s="1320"/>
      <c r="AB11" s="1320"/>
      <c r="AC11" s="1320"/>
      <c r="AD11" s="2822"/>
      <c r="AE11" s="2950"/>
      <c r="AF11" s="2853"/>
      <c r="AG11" s="2973"/>
      <c r="AH11" s="2768"/>
      <c r="AI11" s="232"/>
      <c r="AJ11" s="352"/>
      <c r="AK11" s="251" t="s">
        <v>550</v>
      </c>
      <c r="AL11" s="1320"/>
      <c r="AM11" s="1320"/>
      <c r="AN11" s="1320"/>
      <c r="AO11" s="1320"/>
      <c r="AP11" s="1320"/>
      <c r="AQ11" s="1320"/>
      <c r="AR11" s="1320"/>
      <c r="AS11" s="1320"/>
      <c r="AT11" s="1320"/>
      <c r="AU11" s="1423"/>
      <c r="AV11" s="1320"/>
      <c r="AW11" s="1423"/>
      <c r="AX11" s="1320"/>
      <c r="AY11" s="1320"/>
      <c r="AZ11" s="1320"/>
      <c r="BA11" s="1320"/>
      <c r="BB11" s="1324"/>
      <c r="BC11" s="2920"/>
      <c r="BE11" s="437"/>
      <c r="BF11" s="437"/>
      <c r="BG11" s="437"/>
      <c r="BH11" s="437"/>
      <c r="BI11" s="1082">
        <v>0</v>
      </c>
    </row>
    <row r="12" spans="1:61" ht="11.25" hidden="1" customHeight="1">
      <c r="A12" s="1290"/>
      <c r="B12" s="1290"/>
      <c r="C12" s="1290"/>
      <c r="D12" s="1290"/>
      <c r="E12" s="2897"/>
      <c r="F12" s="2897"/>
      <c r="G12" s="2897"/>
      <c r="H12" s="2897"/>
      <c r="I12" s="2899"/>
      <c r="J12" s="2899"/>
      <c r="K12" s="2898"/>
      <c r="L12" s="1291"/>
      <c r="P12" s="2900"/>
      <c r="Q12" s="2900"/>
      <c r="R12" s="2957"/>
      <c r="S12" s="2956"/>
      <c r="T12" s="2976"/>
      <c r="U12" s="238"/>
      <c r="V12" s="1320"/>
      <c r="W12" s="1321" t="str">
        <f>Z8&amp;"-"&amp;AB8</f>
        <v>-</v>
      </c>
      <c r="X12" s="1320"/>
      <c r="Y12" s="1321" t="str">
        <f>AB8&amp;"-"&amp;AD8</f>
        <v>-да</v>
      </c>
      <c r="Z12" s="1320"/>
      <c r="AA12" s="1320"/>
      <c r="AB12" s="1320"/>
      <c r="AC12" s="1320"/>
      <c r="AD12" s="2773"/>
      <c r="AE12" s="250"/>
      <c r="AF12" s="252"/>
      <c r="AG12" s="353" t="s">
        <v>551</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920"/>
      <c r="BE12" s="437"/>
      <c r="BF12" s="437" t="str">
        <f t="shared" ref="BF12:BF18" si="1">IF(T12="","",T12)</f>
        <v/>
      </c>
      <c r="BG12" s="437"/>
      <c r="BH12" s="437"/>
      <c r="BI12" s="1082">
        <v>0</v>
      </c>
    </row>
    <row r="13" spans="1:61" ht="11.25" hidden="1" customHeight="1">
      <c r="A13" s="1290"/>
      <c r="B13" s="1290"/>
      <c r="C13" s="1290"/>
      <c r="D13" s="1290"/>
      <c r="E13" s="2897"/>
      <c r="F13" s="2897"/>
      <c r="G13" s="2897"/>
      <c r="H13" s="2897"/>
      <c r="I13" s="2899"/>
      <c r="J13" s="2898"/>
      <c r="K13" s="1290"/>
      <c r="L13" s="1291"/>
      <c r="P13" s="2900"/>
      <c r="Q13" s="2900"/>
      <c r="R13" s="293"/>
      <c r="S13" s="1205"/>
      <c r="T13" s="225" t="s">
        <v>514</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921"/>
      <c r="BE13" s="437"/>
      <c r="BF13" s="437" t="str">
        <f t="shared" si="1"/>
        <v>Добавить строку</v>
      </c>
      <c r="BG13" s="437"/>
      <c r="BH13" s="437"/>
      <c r="BI13" s="1082">
        <v>0</v>
      </c>
    </row>
    <row r="14" spans="1:61" s="1569" customFormat="1" ht="14.25" hidden="1" customHeight="1">
      <c r="A14" s="1270"/>
      <c r="B14" s="1270"/>
      <c r="C14" s="1270"/>
      <c r="D14" s="1270"/>
      <c r="E14" s="2897"/>
      <c r="F14" s="2897"/>
      <c r="G14" s="2897"/>
      <c r="H14" s="2897"/>
      <c r="I14" s="2898"/>
      <c r="J14" s="1270"/>
      <c r="K14" s="1270"/>
      <c r="L14" s="1273"/>
      <c r="M14" s="447"/>
      <c r="N14" s="447"/>
      <c r="O14" s="447"/>
      <c r="P14" s="2900"/>
      <c r="Q14" s="1389"/>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897"/>
      <c r="F15" s="2897"/>
      <c r="G15" s="2897"/>
      <c r="H15" s="289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897"/>
      <c r="F16" s="2897"/>
      <c r="G16" s="2896"/>
      <c r="H16" s="1241"/>
      <c r="I16" s="1241"/>
      <c r="J16" s="1241"/>
      <c r="K16" s="1241"/>
      <c r="L16" s="139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897"/>
      <c r="F17" s="2896"/>
      <c r="G17" s="1241"/>
      <c r="H17" s="1241"/>
      <c r="I17" s="1241"/>
      <c r="J17" s="1241"/>
      <c r="K17" s="1241"/>
      <c r="L17" s="1391"/>
      <c r="M17" s="1248"/>
      <c r="N17" s="1248"/>
      <c r="P17" s="1243"/>
      <c r="Q17" s="1244"/>
      <c r="R17" s="1243"/>
      <c r="S17" s="1249"/>
      <c r="T17" s="1252" t="s">
        <v>176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896"/>
      <c r="F18" s="1270"/>
      <c r="G18" s="1270"/>
      <c r="H18" s="1270"/>
      <c r="I18" s="1270"/>
      <c r="J18" s="1270"/>
      <c r="K18" s="1270"/>
      <c r="L18" s="1273"/>
      <c r="M18" s="1248"/>
      <c r="N18" s="1248"/>
      <c r="O18" s="455"/>
      <c r="P18" s="317"/>
      <c r="Q18" s="1271"/>
      <c r="R18" s="317"/>
      <c r="S18" s="1249"/>
      <c r="T18" s="1252" t="s">
        <v>178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387" t="s">
        <v>71</v>
      </c>
      <c r="AZ20" s="1662"/>
      <c r="BA20" s="1387" t="s">
        <v>71</v>
      </c>
      <c r="BI20" s="1082">
        <v>0</v>
      </c>
    </row>
    <row r="21" spans="1:61" ht="14.25" hidden="1" customHeight="1">
      <c r="BD21" s="433"/>
      <c r="BE21" s="433"/>
      <c r="BF21" s="433"/>
      <c r="BG21" s="433"/>
      <c r="BH21" s="433"/>
      <c r="BI21" s="1082">
        <v>0</v>
      </c>
    </row>
    <row r="22" spans="1:61" ht="14.25" hidden="1" customHeight="1">
      <c r="O22" s="1294" t="s">
        <v>459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460</v>
      </c>
      <c r="P24" s="1435"/>
      <c r="Q24" s="1437"/>
      <c r="R24" s="1437"/>
      <c r="AA24" s="1434" t="s">
        <v>462</v>
      </c>
      <c r="AC24" s="1434" t="s">
        <v>463</v>
      </c>
      <c r="AD24" s="1434" t="s">
        <v>515</v>
      </c>
      <c r="AH24" s="1434" t="s">
        <v>515</v>
      </c>
      <c r="AK24" s="1434" t="s">
        <v>552</v>
      </c>
      <c r="AL24" s="1434" t="s">
        <v>515</v>
      </c>
      <c r="AP24" s="1434" t="s">
        <v>515</v>
      </c>
      <c r="AY24" s="1434" t="s">
        <v>462</v>
      </c>
      <c r="BA24" s="1434" t="s">
        <v>463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5" customHeight="1">
      <c r="Q28" s="229"/>
      <c r="R28" s="313"/>
      <c r="S28" s="2877" t="str">
        <f>IF(TEMPLATE_GROUP="P",PT_P_FORM_COLDVSNA_5_NAME_FORM,PT_R_FORM_COLDVSNA_17_NAME_FORM)</f>
        <v>Форма 14. Информация о предложении организации холодного водоснабжения расчетной величины тарифов на подключение (технологическое присоединение) к централизованной системе холодного водоснабжения</v>
      </c>
      <c r="T28" s="2877"/>
      <c r="U28" s="2877"/>
      <c r="V28" s="2877"/>
      <c r="W28" s="2877"/>
      <c r="X28" s="2877"/>
      <c r="Y28" s="2877"/>
      <c r="Z28" s="2877"/>
      <c r="AA28" s="2877"/>
      <c r="AB28" s="2877"/>
      <c r="AC28" s="2877"/>
      <c r="AD28" s="2877"/>
      <c r="AE28" s="2877"/>
      <c r="AF28" s="2877"/>
      <c r="AG28" s="2877"/>
      <c r="AH28" s="2877"/>
      <c r="AI28" s="2877"/>
      <c r="AJ28" s="2877"/>
      <c r="AK28" s="2877"/>
      <c r="AL28" s="2877"/>
      <c r="AM28" s="2877"/>
      <c r="AN28" s="2877"/>
      <c r="AO28" s="2877"/>
      <c r="AP28" s="2877"/>
      <c r="AQ28" s="2877"/>
      <c r="AR28" s="2877"/>
      <c r="AS28" s="2877"/>
      <c r="AT28" s="2877"/>
      <c r="AU28" s="2877"/>
      <c r="AV28" s="2877"/>
      <c r="AW28" s="2877"/>
      <c r="AX28" s="2877"/>
      <c r="AY28" s="2877"/>
      <c r="AZ28" s="2877"/>
      <c r="BA28" s="1170"/>
      <c r="BI28" s="1082">
        <v>14</v>
      </c>
    </row>
    <row r="29" spans="1:61" ht="15" customHeight="1">
      <c r="Q29" s="229"/>
      <c r="R29" s="313"/>
      <c r="S29" s="2849" t="str">
        <f>IF(org=0,"Не определено",org)</f>
        <v>ТМУП "ТТС"</v>
      </c>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2849"/>
      <c r="AT29" s="2849"/>
      <c r="AU29" s="2849"/>
      <c r="AV29" s="2849"/>
      <c r="AW29" s="2849"/>
      <c r="AX29" s="2849"/>
      <c r="AY29" s="2849"/>
      <c r="AZ29" s="2849"/>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887" t="s">
        <v>46</v>
      </c>
      <c r="T31" s="2887"/>
      <c r="U31" s="1299"/>
      <c r="V31" s="2889" t="str">
        <f>IF(TITLE_NAME_OR_PR_CHANGE="",IF(TITLE_NAME_OR_PR="","",TITLE_NAME_OR_PR),TITLE_NAME_OR_PR_CHANGE)</f>
        <v/>
      </c>
      <c r="W31" s="2889"/>
      <c r="X31" s="2889"/>
      <c r="Y31" s="2889"/>
      <c r="Z31" s="2889"/>
      <c r="AA31" s="2889"/>
      <c r="AB31" s="2889"/>
      <c r="AC31" s="264"/>
      <c r="AD31" s="2889" t="str">
        <f>IF(TITLE_NAME_OR_PR_CHANGE="",IF(TITLE_NAME_OR_PR="","",TITLE_NAME_OR_PR),TITLE_NAME_OR_PR_CHANGE)</f>
        <v/>
      </c>
      <c r="AE31" s="2889"/>
      <c r="AF31" s="2889"/>
      <c r="AG31" s="2889"/>
      <c r="AH31" s="2889"/>
      <c r="AI31" s="2889"/>
      <c r="AJ31" s="2889"/>
      <c r="AK31" s="2889"/>
      <c r="AL31" s="2889"/>
      <c r="AM31" s="2889"/>
      <c r="AN31" s="2889"/>
      <c r="AO31" s="2889"/>
      <c r="AP31" s="2889"/>
      <c r="AQ31" s="2889"/>
      <c r="AR31" s="2889"/>
      <c r="AS31" s="2889"/>
      <c r="AT31" s="2889"/>
      <c r="AU31" s="2889"/>
      <c r="AV31" s="2889"/>
      <c r="AW31" s="2889"/>
      <c r="AX31" s="2889"/>
      <c r="AY31" s="2889"/>
      <c r="AZ31" s="2889"/>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887" t="s">
        <v>465</v>
      </c>
      <c r="T32" s="2887"/>
      <c r="U32" s="1299"/>
      <c r="V32" s="2888" t="str">
        <f>IF(TITLE_DATE_PR_CHANGE="",IF(TITLE_DATE_PR="","",TITLE_DATE_PR),TITLE_DATE_PR_CHANGE)</f>
        <v>14.11.2024</v>
      </c>
      <c r="W32" s="2888"/>
      <c r="X32" s="2888"/>
      <c r="Y32" s="2888"/>
      <c r="Z32" s="2888"/>
      <c r="AA32" s="2888"/>
      <c r="AB32" s="2888"/>
      <c r="AC32" s="264"/>
      <c r="AD32" s="2888" t="str">
        <f>IF(TITLE_DATE_PR_CHANGE="",IF(TITLE_DATE_PR="","",TITLE_DATE_PR),TITLE_DATE_PR_CHANGE)</f>
        <v>14.11.2024</v>
      </c>
      <c r="AE32" s="2888"/>
      <c r="AF32" s="2888"/>
      <c r="AG32" s="2888"/>
      <c r="AH32" s="2888"/>
      <c r="AI32" s="2888"/>
      <c r="AJ32" s="2888"/>
      <c r="AK32" s="2888"/>
      <c r="AL32" s="2888"/>
      <c r="AM32" s="2888"/>
      <c r="AN32" s="2888"/>
      <c r="AO32" s="2888"/>
      <c r="AP32" s="2888"/>
      <c r="AQ32" s="2888"/>
      <c r="AR32" s="2888"/>
      <c r="AS32" s="2888"/>
      <c r="AT32" s="2888"/>
      <c r="AU32" s="2888"/>
      <c r="AV32" s="2888"/>
      <c r="AW32" s="2888"/>
      <c r="AX32" s="2888"/>
      <c r="AY32" s="2888"/>
      <c r="AZ32" s="2888"/>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887" t="s">
        <v>466</v>
      </c>
      <c r="T33" s="2887"/>
      <c r="U33" s="1299"/>
      <c r="V33" s="2889" t="str">
        <f>IF(TITLE_NUMBER_PR_CHANGE="",IF(TITLE_NUMBER_PR="","",TITLE_NUMBER_PR),TITLE_NUMBER_PR_CHANGE)</f>
        <v>947 от 12.11.2024</v>
      </c>
      <c r="W33" s="2889"/>
      <c r="X33" s="2889"/>
      <c r="Y33" s="2889"/>
      <c r="Z33" s="2889"/>
      <c r="AA33" s="2889"/>
      <c r="AB33" s="2889"/>
      <c r="AC33" s="264"/>
      <c r="AD33" s="2889" t="str">
        <f>IF(TITLE_NUMBER_PR_CHANGE="",IF(TITLE_NUMBER_PR="","",TITLE_NUMBER_PR),TITLE_NUMBER_PR_CHANGE)</f>
        <v>947 от 12.11.2024</v>
      </c>
      <c r="AE33" s="2889"/>
      <c r="AF33" s="2889"/>
      <c r="AG33" s="2889"/>
      <c r="AH33" s="2889"/>
      <c r="AI33" s="2889"/>
      <c r="AJ33" s="2889"/>
      <c r="AK33" s="2889"/>
      <c r="AL33" s="2889"/>
      <c r="AM33" s="2889"/>
      <c r="AN33" s="2889"/>
      <c r="AO33" s="2889"/>
      <c r="AP33" s="2889"/>
      <c r="AQ33" s="2889"/>
      <c r="AR33" s="2889"/>
      <c r="AS33" s="2889"/>
      <c r="AT33" s="2889"/>
      <c r="AU33" s="2889"/>
      <c r="AV33" s="2889"/>
      <c r="AW33" s="2889"/>
      <c r="AX33" s="2889"/>
      <c r="AY33" s="2889"/>
      <c r="AZ33" s="2889"/>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887" t="s">
        <v>47</v>
      </c>
      <c r="T34" s="2887"/>
      <c r="U34" s="1299"/>
      <c r="V34" s="2889" t="str">
        <f>IF(TITLE_IST_PUB_CHANGE="",IF(TITLE_IST_PUB="","",TITLE_IST_PUB),TITLE_IST_PUB_CHANGE)</f>
        <v/>
      </c>
      <c r="W34" s="2889"/>
      <c r="X34" s="2889"/>
      <c r="Y34" s="2889"/>
      <c r="Z34" s="2889"/>
      <c r="AA34" s="2889"/>
      <c r="AB34" s="2889"/>
      <c r="AC34" s="264"/>
      <c r="AD34" s="2889" t="str">
        <f>IF(TITLE_IST_PUB_CHANGE="",IF(TITLE_IST_PUB="","",TITLE_IST_PUB),TITLE_IST_PUB_CHANGE)</f>
        <v/>
      </c>
      <c r="AE34" s="2889"/>
      <c r="AF34" s="2889"/>
      <c r="AG34" s="2889"/>
      <c r="AH34" s="2889"/>
      <c r="AI34" s="2889"/>
      <c r="AJ34" s="2889"/>
      <c r="AK34" s="2889"/>
      <c r="AL34" s="2889"/>
      <c r="AM34" s="2889"/>
      <c r="AN34" s="2889"/>
      <c r="AO34" s="2889"/>
      <c r="AP34" s="2889"/>
      <c r="AQ34" s="2889"/>
      <c r="AR34" s="2889"/>
      <c r="AS34" s="2889"/>
      <c r="AT34" s="2889"/>
      <c r="AU34" s="2889"/>
      <c r="AV34" s="2889"/>
      <c r="AW34" s="2889"/>
      <c r="AX34" s="2889"/>
      <c r="AY34" s="2889"/>
      <c r="AZ34" s="2889"/>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887" t="s">
        <v>465</v>
      </c>
      <c r="T36" s="2887"/>
      <c r="U36" s="1299"/>
      <c r="V36" s="2888" t="str">
        <f>IF(TITLE_DATE_PR_CHANGE="",IF(TITLE_DATE_PR="","",TITLE_DATE_PR),TITLE_DATE_PR_CHANGE)</f>
        <v>14.11.2024</v>
      </c>
      <c r="W36" s="2888"/>
      <c r="X36" s="2888"/>
      <c r="Y36" s="2888"/>
      <c r="Z36" s="2888"/>
      <c r="AA36" s="2888"/>
      <c r="AB36" s="2888"/>
      <c r="AC36" s="264"/>
      <c r="AD36" s="2888" t="str">
        <f>IF(TITLE_DATE_PR_CHANGE="",IF(TITLE_DATE_PR="","",TITLE_DATE_PR),TITLE_DATE_PR_CHANGE)</f>
        <v>14.11.2024</v>
      </c>
      <c r="AE36" s="2888"/>
      <c r="AF36" s="2888"/>
      <c r="AG36" s="2888"/>
      <c r="AH36" s="2888"/>
      <c r="AI36" s="2888"/>
      <c r="AJ36" s="2888"/>
      <c r="AK36" s="2888"/>
      <c r="AL36" s="2888"/>
      <c r="AM36" s="2888"/>
      <c r="AN36" s="2888"/>
      <c r="AO36" s="2888"/>
      <c r="AP36" s="2888"/>
      <c r="AQ36" s="2888"/>
      <c r="AR36" s="2888"/>
      <c r="AS36" s="2888"/>
      <c r="AT36" s="2888"/>
      <c r="AU36" s="2888"/>
      <c r="AV36" s="2888"/>
      <c r="AW36" s="2888"/>
      <c r="AX36" s="2888"/>
      <c r="AY36" s="2888"/>
      <c r="AZ36" s="2888"/>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887" t="s">
        <v>466</v>
      </c>
      <c r="T37" s="2887"/>
      <c r="U37" s="1299"/>
      <c r="V37" s="2889" t="str">
        <f>IF(TITLE_NUMBER_PR_CHANGE="",IF(TITLE_NUMBER_PR="","",TITLE_NUMBER_PR),TITLE_NUMBER_PR_CHANGE)</f>
        <v>947 от 12.11.2024</v>
      </c>
      <c r="W37" s="2889"/>
      <c r="X37" s="2889"/>
      <c r="Y37" s="2889"/>
      <c r="Z37" s="2889"/>
      <c r="AA37" s="2889"/>
      <c r="AB37" s="2889"/>
      <c r="AC37" s="264"/>
      <c r="AD37" s="2889" t="str">
        <f>IF(TITLE_NUMBER_PR_CHANGE="",IF(TITLE_NUMBER_PR="","",TITLE_NUMBER_PR),TITLE_NUMBER_PR_CHANGE)</f>
        <v>947 от 12.11.2024</v>
      </c>
      <c r="AE37" s="2889"/>
      <c r="AF37" s="2889"/>
      <c r="AG37" s="2889"/>
      <c r="AH37" s="2889"/>
      <c r="AI37" s="2889"/>
      <c r="AJ37" s="2889"/>
      <c r="AK37" s="2889"/>
      <c r="AL37" s="2889"/>
      <c r="AM37" s="2889"/>
      <c r="AN37" s="2889"/>
      <c r="AO37" s="2889"/>
      <c r="AP37" s="2889"/>
      <c r="AQ37" s="2889"/>
      <c r="AR37" s="2889"/>
      <c r="AS37" s="2889"/>
      <c r="AT37" s="2889"/>
      <c r="AU37" s="2889"/>
      <c r="AV37" s="2889"/>
      <c r="AW37" s="2889"/>
      <c r="AX37" s="2889"/>
      <c r="AY37" s="2889"/>
      <c r="AZ37" s="288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381"/>
      <c r="V38" s="264"/>
      <c r="W38" s="264"/>
      <c r="X38" s="264"/>
      <c r="Y38" s="264"/>
      <c r="Z38" s="264"/>
      <c r="AA38" s="264"/>
      <c r="AB38" s="264"/>
      <c r="AC38" s="216" t="s">
        <v>469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469</v>
      </c>
      <c r="BD38" s="305"/>
      <c r="BE38" s="305"/>
      <c r="BF38" s="305"/>
      <c r="BG38" s="305"/>
      <c r="BH38" s="305"/>
      <c r="BI38" s="355">
        <v>0</v>
      </c>
    </row>
    <row r="39" spans="1:61" ht="15" customHeight="1">
      <c r="Q39" s="229"/>
      <c r="R39" s="313"/>
      <c r="S39" s="1202"/>
      <c r="T39" s="300"/>
      <c r="U39" s="1171"/>
      <c r="V39" s="2908"/>
      <c r="W39" s="2908"/>
      <c r="X39" s="2908"/>
      <c r="Y39" s="2908"/>
      <c r="Z39" s="2908"/>
      <c r="AA39" s="2908"/>
      <c r="AB39" s="2908"/>
      <c r="AC39" s="2908"/>
      <c r="AD39" s="2908"/>
      <c r="AE39" s="2908"/>
      <c r="AF39" s="2908"/>
      <c r="AG39" s="2908"/>
      <c r="AH39" s="2908"/>
      <c r="AI39" s="2908"/>
      <c r="AJ39" s="2908"/>
      <c r="AK39" s="2908"/>
      <c r="AL39" s="2908"/>
      <c r="AM39" s="2908"/>
      <c r="AN39" s="2908"/>
      <c r="AO39" s="2908"/>
      <c r="AP39" s="2908"/>
      <c r="AQ39" s="2908"/>
      <c r="AR39" s="2908"/>
      <c r="AS39" s="2908"/>
      <c r="AT39" s="2908"/>
      <c r="AU39" s="2908"/>
      <c r="AV39" s="2908"/>
      <c r="AW39" s="2908"/>
      <c r="AX39" s="2908"/>
      <c r="AY39" s="2908"/>
      <c r="AZ39" s="2908"/>
      <c r="BA39" s="2908"/>
      <c r="BI39" s="1082">
        <v>14</v>
      </c>
    </row>
    <row r="40" spans="1:61" ht="15" customHeight="1">
      <c r="Q40" s="229"/>
      <c r="R40" s="313"/>
      <c r="S40" s="2758" t="s">
        <v>345</v>
      </c>
      <c r="T40" s="2758"/>
      <c r="U40" s="2758"/>
      <c r="V40" s="2758"/>
      <c r="W40" s="2758"/>
      <c r="X40" s="2758"/>
      <c r="Y40" s="2758"/>
      <c r="Z40" s="2758"/>
      <c r="AA40" s="2758"/>
      <c r="AB40" s="2758"/>
      <c r="AC40" s="2758"/>
      <c r="AD40" s="2758"/>
      <c r="AE40" s="2758"/>
      <c r="AF40" s="2758"/>
      <c r="AG40" s="2758"/>
      <c r="AH40" s="2758"/>
      <c r="AI40" s="2758"/>
      <c r="AJ40" s="2758"/>
      <c r="AK40" s="2758"/>
      <c r="AL40" s="2758"/>
      <c r="AM40" s="2758"/>
      <c r="AN40" s="2758"/>
      <c r="AO40" s="2758"/>
      <c r="AP40" s="2758"/>
      <c r="AQ40" s="2758"/>
      <c r="AR40" s="2758"/>
      <c r="AS40" s="2758"/>
      <c r="AT40" s="2758"/>
      <c r="AU40" s="2758"/>
      <c r="AV40" s="2758"/>
      <c r="AW40" s="2758"/>
      <c r="AX40" s="2758"/>
      <c r="AY40" s="2758"/>
      <c r="AZ40" s="2758"/>
      <c r="BA40" s="2758"/>
      <c r="BB40" s="2758"/>
      <c r="BC40" s="2758" t="s">
        <v>346</v>
      </c>
      <c r="BI40" s="1082">
        <v>14</v>
      </c>
    </row>
    <row r="41" spans="1:61" ht="15" customHeight="1">
      <c r="Q41" s="229"/>
      <c r="R41" s="313"/>
      <c r="S41" s="2909" t="s">
        <v>93</v>
      </c>
      <c r="T41" s="2857" t="s">
        <v>553</v>
      </c>
      <c r="U41" s="239"/>
      <c r="V41" s="2910" t="s">
        <v>471</v>
      </c>
      <c r="W41" s="2911"/>
      <c r="X41" s="2911"/>
      <c r="Y41" s="2911"/>
      <c r="Z41" s="2911"/>
      <c r="AA41" s="2911"/>
      <c r="AB41" s="2912"/>
      <c r="AC41" s="2913" t="s">
        <v>472</v>
      </c>
      <c r="AD41" s="2943" t="s">
        <v>554</v>
      </c>
      <c r="AE41" s="2927"/>
      <c r="AF41" s="2927"/>
      <c r="AG41" s="2944"/>
      <c r="AH41" s="2943" t="s">
        <v>555</v>
      </c>
      <c r="AI41" s="2927"/>
      <c r="AJ41" s="2927"/>
      <c r="AK41" s="2944"/>
      <c r="AL41" s="2943" t="s">
        <v>556</v>
      </c>
      <c r="AM41" s="2927"/>
      <c r="AN41" s="2927"/>
      <c r="AO41" s="2944"/>
      <c r="AP41" s="2943" t="s">
        <v>557</v>
      </c>
      <c r="AQ41" s="2927"/>
      <c r="AR41" s="2927"/>
      <c r="AS41" s="2944"/>
      <c r="AT41" s="2910" t="s">
        <v>471</v>
      </c>
      <c r="AU41" s="2911"/>
      <c r="AV41" s="2911"/>
      <c r="AW41" s="2911"/>
      <c r="AX41" s="2911"/>
      <c r="AY41" s="2911"/>
      <c r="AZ41" s="2912"/>
      <c r="BA41" s="2913" t="s">
        <v>472</v>
      </c>
      <c r="BB41" s="2916" t="s">
        <v>474</v>
      </c>
      <c r="BC41" s="2758"/>
      <c r="BI41" s="1082">
        <v>14</v>
      </c>
    </row>
    <row r="42" spans="1:61" ht="36" customHeight="1">
      <c r="Q42" s="229"/>
      <c r="R42" s="313"/>
      <c r="S42" s="2909"/>
      <c r="T42" s="2857"/>
      <c r="U42" s="961"/>
      <c r="V42" s="2830" t="s">
        <v>558</v>
      </c>
      <c r="W42" s="2831"/>
      <c r="X42" s="2830" t="s">
        <v>559</v>
      </c>
      <c r="Y42" s="2831"/>
      <c r="Z42" s="2830" t="s">
        <v>560</v>
      </c>
      <c r="AA42" s="2939"/>
      <c r="AB42" s="2831"/>
      <c r="AC42" s="2914"/>
      <c r="AD42" s="2945"/>
      <c r="AE42" s="2946"/>
      <c r="AF42" s="2946"/>
      <c r="AG42" s="2958"/>
      <c r="AH42" s="2945"/>
      <c r="AI42" s="2946"/>
      <c r="AJ42" s="2946"/>
      <c r="AK42" s="2958"/>
      <c r="AL42" s="2945"/>
      <c r="AM42" s="2946"/>
      <c r="AN42" s="2946"/>
      <c r="AO42" s="2958"/>
      <c r="AP42" s="2945"/>
      <c r="AQ42" s="2946"/>
      <c r="AR42" s="2946"/>
      <c r="AS42" s="2958"/>
      <c r="AT42" s="2830" t="s">
        <v>558</v>
      </c>
      <c r="AU42" s="2831"/>
      <c r="AV42" s="2830" t="s">
        <v>559</v>
      </c>
      <c r="AW42" s="2831"/>
      <c r="AX42" s="2830" t="s">
        <v>560</v>
      </c>
      <c r="AY42" s="2939"/>
      <c r="AZ42" s="2831"/>
      <c r="BA42" s="2914"/>
      <c r="BB42" s="2917"/>
      <c r="BC42" s="2758"/>
      <c r="BI42" s="1082">
        <v>34</v>
      </c>
    </row>
    <row r="43" spans="1:61" ht="15" customHeight="1">
      <c r="Q43" s="229"/>
      <c r="R43" s="313"/>
      <c r="S43" s="2909"/>
      <c r="T43" s="2857"/>
      <c r="U43" s="961"/>
      <c r="V43" s="2835"/>
      <c r="W43" s="2836"/>
      <c r="X43" s="2835"/>
      <c r="Y43" s="2836"/>
      <c r="Z43" s="2835"/>
      <c r="AA43" s="2940"/>
      <c r="AB43" s="2836"/>
      <c r="AC43" s="2914"/>
      <c r="AD43" s="2945"/>
      <c r="AE43" s="2946"/>
      <c r="AF43" s="2946"/>
      <c r="AG43" s="2958"/>
      <c r="AH43" s="2945"/>
      <c r="AI43" s="2946"/>
      <c r="AJ43" s="2946"/>
      <c r="AK43" s="2958"/>
      <c r="AL43" s="2945"/>
      <c r="AM43" s="2946"/>
      <c r="AN43" s="2946"/>
      <c r="AO43" s="2958"/>
      <c r="AP43" s="2945"/>
      <c r="AQ43" s="2946"/>
      <c r="AR43" s="2946"/>
      <c r="AS43" s="2958"/>
      <c r="AT43" s="2835"/>
      <c r="AU43" s="2836"/>
      <c r="AV43" s="2835"/>
      <c r="AW43" s="2836"/>
      <c r="AX43" s="2835"/>
      <c r="AY43" s="2940"/>
      <c r="AZ43" s="2836"/>
      <c r="BA43" s="2914"/>
      <c r="BB43" s="2917"/>
      <c r="BC43" s="2758"/>
      <c r="BI43" s="1082">
        <v>14</v>
      </c>
    </row>
    <row r="44" spans="1:61" ht="15" customHeight="1">
      <c r="A44" s="1297"/>
      <c r="B44" s="1297" t="s">
        <v>140</v>
      </c>
      <c r="C44" s="1297" t="s">
        <v>141</v>
      </c>
      <c r="D44" s="1297" t="s">
        <v>142</v>
      </c>
      <c r="E44" s="1291" t="s">
        <v>479</v>
      </c>
      <c r="F44" s="1291" t="s">
        <v>480</v>
      </c>
      <c r="G44" s="1291" t="s">
        <v>481</v>
      </c>
      <c r="H44" s="1291" t="s">
        <v>482</v>
      </c>
      <c r="I44" s="1291" t="s">
        <v>483</v>
      </c>
      <c r="J44" s="1291" t="s">
        <v>484</v>
      </c>
      <c r="K44" s="1291" t="s">
        <v>485</v>
      </c>
      <c r="L44" s="1291" t="s">
        <v>460</v>
      </c>
      <c r="Q44" s="229"/>
      <c r="R44" s="313"/>
      <c r="S44" s="2909"/>
      <c r="T44" s="2857"/>
      <c r="U44" s="240"/>
      <c r="V44" s="1375" t="s">
        <v>524</v>
      </c>
      <c r="W44" s="1375" t="s">
        <v>525</v>
      </c>
      <c r="X44" s="1375" t="s">
        <v>524</v>
      </c>
      <c r="Y44" s="1375" t="s">
        <v>525</v>
      </c>
      <c r="Z44" s="1382" t="s">
        <v>488</v>
      </c>
      <c r="AA44" s="2862" t="s">
        <v>489</v>
      </c>
      <c r="AB44" s="2876"/>
      <c r="AC44" s="2915"/>
      <c r="AD44" s="2947"/>
      <c r="AE44" s="2948"/>
      <c r="AF44" s="2948"/>
      <c r="AG44" s="2949"/>
      <c r="AH44" s="2947"/>
      <c r="AI44" s="2948"/>
      <c r="AJ44" s="2948"/>
      <c r="AK44" s="2949"/>
      <c r="AL44" s="2947"/>
      <c r="AM44" s="2948"/>
      <c r="AN44" s="2948"/>
      <c r="AO44" s="2949"/>
      <c r="AP44" s="2947"/>
      <c r="AQ44" s="2948"/>
      <c r="AR44" s="2948"/>
      <c r="AS44" s="2949"/>
      <c r="AT44" s="1375" t="s">
        <v>524</v>
      </c>
      <c r="AU44" s="1375" t="s">
        <v>525</v>
      </c>
      <c r="AV44" s="1375" t="s">
        <v>524</v>
      </c>
      <c r="AW44" s="1375" t="s">
        <v>525</v>
      </c>
      <c r="AX44" s="1382" t="s">
        <v>488</v>
      </c>
      <c r="AY44" s="2862" t="s">
        <v>489</v>
      </c>
      <c r="AZ44" s="2876"/>
      <c r="BA44" s="2915"/>
      <c r="BB44" s="2918"/>
      <c r="BC44" s="2758"/>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114</v>
      </c>
      <c r="T45" s="1182" t="s">
        <v>115</v>
      </c>
      <c r="U45" s="1172" t="str">
        <f ca="1">OFFSET(U45,0,-1)</f>
        <v>2</v>
      </c>
      <c r="V45" s="1378">
        <f t="shared" ref="V45:AA45" ca="1" si="2">OFFSET(V45,0,-1)+1</f>
        <v>3</v>
      </c>
      <c r="W45" s="1378">
        <f t="shared" ca="1" si="2"/>
        <v>4</v>
      </c>
      <c r="X45" s="1378">
        <f t="shared" ca="1" si="2"/>
        <v>5</v>
      </c>
      <c r="Y45" s="1378">
        <f t="shared" ca="1" si="2"/>
        <v>6</v>
      </c>
      <c r="Z45" s="1378">
        <f t="shared" ca="1" si="2"/>
        <v>7</v>
      </c>
      <c r="AA45" s="2907">
        <f t="shared" ca="1" si="2"/>
        <v>8</v>
      </c>
      <c r="AB45" s="2907"/>
      <c r="AC45" s="1378">
        <f ca="1">OFFSET(AC45,0,-2)+1</f>
        <v>9</v>
      </c>
      <c r="AD45" s="1378">
        <f ca="1">OFFSET(AD45,0,-1)+1</f>
        <v>10</v>
      </c>
      <c r="AE45" s="1378"/>
      <c r="AF45" s="1378"/>
      <c r="AG45" s="1378"/>
      <c r="AH45" s="1378"/>
      <c r="AI45" s="1378"/>
      <c r="AJ45" s="1378"/>
      <c r="AK45" s="1378"/>
      <c r="AL45" s="1378"/>
      <c r="AM45" s="1378"/>
      <c r="AN45" s="1378"/>
      <c r="AO45" s="1378"/>
      <c r="AP45" s="1378"/>
      <c r="AQ45" s="1378"/>
      <c r="AR45" s="1378"/>
      <c r="AS45" s="1378"/>
      <c r="AT45" s="1378"/>
      <c r="AU45" s="1378"/>
      <c r="AV45" s="1378"/>
      <c r="AW45" s="1378">
        <f ca="1">OFFSET(AW45,0,-1)+1</f>
        <v>1</v>
      </c>
      <c r="AX45" s="1378">
        <f ca="1">OFFSET(AX45,0,-1)+1</f>
        <v>2</v>
      </c>
      <c r="AY45" s="2907">
        <f ca="1">OFFSET(AY45,0,-1)+1</f>
        <v>3</v>
      </c>
      <c r="AZ45" s="2907"/>
      <c r="BA45" s="1378">
        <f ca="1">OFFSET(BA45,0,-2)+1</f>
        <v>4</v>
      </c>
      <c r="BB45" s="1172">
        <f ca="1">OFFSET(BB45,0,-1)</f>
        <v>4</v>
      </c>
      <c r="BC45" s="1378">
        <f ca="1">OFFSET(BC45,0,-1)+1</f>
        <v>5</v>
      </c>
      <c r="BD45" s="448"/>
      <c r="BE45" s="448"/>
      <c r="BF45" s="448"/>
      <c r="BG45" s="448"/>
      <c r="BH45" s="448"/>
      <c r="BI45" s="433">
        <v>0</v>
      </c>
    </row>
    <row r="46" spans="1:61" ht="21.75" customHeight="1">
      <c r="A46" s="1290" t="s">
        <v>291</v>
      </c>
      <c r="B46" s="1290"/>
      <c r="C46" s="1290"/>
      <c r="D46" s="1290"/>
      <c r="E46" s="2896">
        <v>1</v>
      </c>
      <c r="F46" s="1290"/>
      <c r="G46" s="1290"/>
      <c r="H46" s="1290"/>
      <c r="I46" s="1290"/>
      <c r="J46" s="1290"/>
      <c r="K46" s="1290"/>
      <c r="L46" s="1291"/>
      <c r="M46" s="1292"/>
      <c r="N46" s="1292"/>
      <c r="O46" s="1292"/>
      <c r="P46" s="1336"/>
      <c r="Q46" s="804"/>
      <c r="R46" s="292"/>
      <c r="S46" s="1384">
        <f>INDEX(PT_DIFFERENTIATION_NUM_NTAR,MATCH(A46,PT_DIFFERENTIATION_NTAR_ID,0))</f>
        <v>0</v>
      </c>
      <c r="T46" s="236" t="s">
        <v>128</v>
      </c>
      <c r="U46" s="238"/>
      <c r="V46" s="2891"/>
      <c r="W46" s="2891"/>
      <c r="X46" s="2891"/>
      <c r="Y46" s="2891"/>
      <c r="Z46" s="2891"/>
      <c r="AA46" s="2891"/>
      <c r="AB46" s="2891"/>
      <c r="AC46" s="2892"/>
      <c r="AD46" s="2890" t="str">
        <f>INDEX(PT_DIFFERENTIATION_NTAR,MATCH(A46,PT_DIFFERENTIATION_NTAR_ID,0))</f>
        <v/>
      </c>
      <c r="AE46" s="2891"/>
      <c r="AF46" s="2891"/>
      <c r="AG46" s="2891"/>
      <c r="AH46" s="2891"/>
      <c r="AI46" s="2891"/>
      <c r="AJ46" s="2891"/>
      <c r="AK46" s="2891"/>
      <c r="AL46" s="2891"/>
      <c r="AM46" s="2891"/>
      <c r="AN46" s="2891"/>
      <c r="AO46" s="2891"/>
      <c r="AP46" s="2891"/>
      <c r="AQ46" s="2891"/>
      <c r="AR46" s="2891"/>
      <c r="AS46" s="2891"/>
      <c r="AT46" s="2891"/>
      <c r="AU46" s="2891"/>
      <c r="AV46" s="2891"/>
      <c r="AW46" s="2891"/>
      <c r="AX46" s="2891"/>
      <c r="AY46" s="2891"/>
      <c r="AZ46" s="2891"/>
      <c r="BA46" s="2891"/>
      <c r="BB46" s="289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75" customHeight="1">
      <c r="A47" s="1290" t="s">
        <v>291</v>
      </c>
      <c r="B47" s="1290" t="s">
        <v>292</v>
      </c>
      <c r="C47" s="1290"/>
      <c r="D47" s="1290"/>
      <c r="E47" s="2897"/>
      <c r="F47" s="2896">
        <v>1</v>
      </c>
      <c r="G47" s="1290"/>
      <c r="H47" s="1290"/>
      <c r="I47" s="1290"/>
      <c r="J47" s="1290"/>
      <c r="K47" s="1290"/>
      <c r="L47" s="1291"/>
      <c r="M47" s="1292"/>
      <c r="N47" s="1292"/>
      <c r="O47" s="1292"/>
      <c r="P47" s="1337"/>
      <c r="Q47" s="1338"/>
      <c r="R47" s="290"/>
      <c r="S47" s="1384" t="str">
        <f>INDEX(PT_DIFFERENTIATION_NUM_TER,MATCH(B47,PT_DIFFERENTIATION_TER_ID,0))</f>
        <v>.</v>
      </c>
      <c r="T47" s="246" t="s">
        <v>442</v>
      </c>
      <c r="U47" s="238"/>
      <c r="V47" s="2891"/>
      <c r="W47" s="2891"/>
      <c r="X47" s="2891"/>
      <c r="Y47" s="2891"/>
      <c r="Z47" s="2891"/>
      <c r="AA47" s="2891"/>
      <c r="AB47" s="2891"/>
      <c r="AC47" s="2892"/>
      <c r="AD47" s="2890" t="str">
        <f>INDEX(PT_DIFFERENTIATION_TER,MATCH(B47,PT_DIFFERENTIATION_TER_ID,0))</f>
        <v/>
      </c>
      <c r="AE47" s="2891"/>
      <c r="AF47" s="2891"/>
      <c r="AG47" s="2891"/>
      <c r="AH47" s="2891"/>
      <c r="AI47" s="2891"/>
      <c r="AJ47" s="2891"/>
      <c r="AK47" s="2891"/>
      <c r="AL47" s="2891"/>
      <c r="AM47" s="2891"/>
      <c r="AN47" s="2891"/>
      <c r="AO47" s="2891"/>
      <c r="AP47" s="2891"/>
      <c r="AQ47" s="2891"/>
      <c r="AR47" s="2891"/>
      <c r="AS47" s="2891"/>
      <c r="AT47" s="2891"/>
      <c r="AU47" s="2891"/>
      <c r="AV47" s="2891"/>
      <c r="AW47" s="2891"/>
      <c r="AX47" s="2891"/>
      <c r="AY47" s="2891"/>
      <c r="AZ47" s="2891"/>
      <c r="BA47" s="2891"/>
      <c r="BB47" s="2892"/>
      <c r="BC47" s="1185" t="s">
        <v>443</v>
      </c>
      <c r="BE47" s="437"/>
      <c r="BF47" s="437" t="str">
        <f t="shared" si="3"/>
        <v>Территория действия тарифа</v>
      </c>
      <c r="BG47" s="437"/>
      <c r="BH47" s="437"/>
      <c r="BI47" s="1082">
        <v>21</v>
      </c>
    </row>
    <row r="48" spans="1:61" ht="42.75" customHeight="1">
      <c r="A48" s="1290" t="s">
        <v>291</v>
      </c>
      <c r="B48" s="1290" t="s">
        <v>292</v>
      </c>
      <c r="C48" s="1290" t="s">
        <v>293</v>
      </c>
      <c r="D48" s="1290"/>
      <c r="E48" s="2897"/>
      <c r="F48" s="2897"/>
      <c r="G48" s="2896">
        <v>1</v>
      </c>
      <c r="H48" s="1290"/>
      <c r="I48" s="1290"/>
      <c r="J48" s="1290"/>
      <c r="K48" s="1290"/>
      <c r="L48" s="1291"/>
      <c r="M48" s="1292"/>
      <c r="N48" s="1292"/>
      <c r="O48" s="1292"/>
      <c r="P48" s="1339"/>
      <c r="Q48" s="1338"/>
      <c r="R48" s="290"/>
      <c r="S48" s="1384" t="str">
        <f>INDEX(PT_DIFFERENTIATION_NUM_CS,MATCH(C48,PT_DIFFERENTIATION_CS_ID,0))</f>
        <v>..</v>
      </c>
      <c r="T48" s="247" t="s">
        <v>527</v>
      </c>
      <c r="U48" s="238"/>
      <c r="V48" s="2891"/>
      <c r="W48" s="2891"/>
      <c r="X48" s="2891"/>
      <c r="Y48" s="2891"/>
      <c r="Z48" s="2891"/>
      <c r="AA48" s="2891"/>
      <c r="AB48" s="2891"/>
      <c r="AC48" s="2892"/>
      <c r="AD48" s="2890" t="str">
        <f>INDEX(PT_DIFFERENTIATION_CS,MATCH(C48,PT_DIFFERENTIATION_CS_ID,0))</f>
        <v/>
      </c>
      <c r="AE48" s="2891"/>
      <c r="AF48" s="2891"/>
      <c r="AG48" s="2891"/>
      <c r="AH48" s="2891"/>
      <c r="AI48" s="2891"/>
      <c r="AJ48" s="2891"/>
      <c r="AK48" s="2891"/>
      <c r="AL48" s="2891"/>
      <c r="AM48" s="2891"/>
      <c r="AN48" s="2891"/>
      <c r="AO48" s="2891"/>
      <c r="AP48" s="2891"/>
      <c r="AQ48" s="2891"/>
      <c r="AR48" s="2891"/>
      <c r="AS48" s="2891"/>
      <c r="AT48" s="2891"/>
      <c r="AU48" s="2891"/>
      <c r="AV48" s="2891"/>
      <c r="AW48" s="2891"/>
      <c r="AX48" s="2891"/>
      <c r="AY48" s="2891"/>
      <c r="AZ48" s="2891"/>
      <c r="BA48" s="2891"/>
      <c r="BB48" s="2892"/>
      <c r="BC48" s="1185" t="s">
        <v>528</v>
      </c>
      <c r="BE48" s="437"/>
      <c r="BF48" s="437" t="str">
        <f t="shared" si="3"/>
        <v>Наименование централизованной системы холодного водоснабжения</v>
      </c>
      <c r="BG48" s="437"/>
      <c r="BH48" s="437"/>
      <c r="BI48" s="1082">
        <v>41</v>
      </c>
    </row>
    <row r="49" spans="1:61" s="1569" customFormat="1" ht="0" hidden="1" customHeight="1">
      <c r="A49" s="1270" t="s">
        <v>291</v>
      </c>
      <c r="B49" s="1270" t="s">
        <v>292</v>
      </c>
      <c r="C49" s="1270" t="s">
        <v>293</v>
      </c>
      <c r="D49" s="1270" t="s">
        <v>561</v>
      </c>
      <c r="E49" s="2897"/>
      <c r="F49" s="2897"/>
      <c r="G49" s="2897"/>
      <c r="H49" s="2896">
        <v>1</v>
      </c>
      <c r="I49" s="1270"/>
      <c r="J49" s="1270"/>
      <c r="K49" s="1270"/>
      <c r="L49" s="1273"/>
      <c r="M49" s="1242"/>
      <c r="N49" s="1242"/>
      <c r="O49" s="1242"/>
      <c r="P49" s="1424"/>
      <c r="Q49" s="1425"/>
      <c r="R49" s="294"/>
      <c r="S49" s="972"/>
      <c r="T49" s="1426"/>
      <c r="U49" s="1311"/>
      <c r="V49" s="2929"/>
      <c r="W49" s="2929"/>
      <c r="X49" s="2929"/>
      <c r="Y49" s="2929"/>
      <c r="Z49" s="2929"/>
      <c r="AA49" s="2929"/>
      <c r="AB49" s="2929"/>
      <c r="AC49" s="2930"/>
      <c r="AD49" s="2928"/>
      <c r="AE49" s="2929"/>
      <c r="AF49" s="2929"/>
      <c r="AG49" s="2929"/>
      <c r="AH49" s="2929"/>
      <c r="AI49" s="2929"/>
      <c r="AJ49" s="2929"/>
      <c r="AK49" s="2929"/>
      <c r="AL49" s="2929"/>
      <c r="AM49" s="2929"/>
      <c r="AN49" s="2929"/>
      <c r="AO49" s="2929"/>
      <c r="AP49" s="2929"/>
      <c r="AQ49" s="2929"/>
      <c r="AR49" s="2929"/>
      <c r="AS49" s="2929"/>
      <c r="AT49" s="2929"/>
      <c r="AU49" s="2929"/>
      <c r="AV49" s="2929"/>
      <c r="AW49" s="2929"/>
      <c r="AX49" s="2929"/>
      <c r="AY49" s="2929"/>
      <c r="AZ49" s="2929"/>
      <c r="BA49" s="2929"/>
      <c r="BB49" s="2930"/>
      <c r="BC49" s="1312" t="s">
        <v>447</v>
      </c>
      <c r="BE49" s="437"/>
      <c r="BF49" s="437" t="str">
        <f t="shared" si="3"/>
        <v/>
      </c>
      <c r="BG49" s="437"/>
      <c r="BH49" s="437"/>
      <c r="BI49" s="448">
        <v>0</v>
      </c>
    </row>
    <row r="50" spans="1:61" s="1569" customFormat="1" ht="0" hidden="1" customHeight="1">
      <c r="A50" s="1270" t="s">
        <v>291</v>
      </c>
      <c r="B50" s="1270" t="s">
        <v>292</v>
      </c>
      <c r="C50" s="1270" t="s">
        <v>293</v>
      </c>
      <c r="D50" s="1270" t="s">
        <v>561</v>
      </c>
      <c r="E50" s="2897"/>
      <c r="F50" s="2897"/>
      <c r="G50" s="2897"/>
      <c r="H50" s="2897"/>
      <c r="I50" s="2898" t="str">
        <f>S49&amp;".1"</f>
        <v>.1</v>
      </c>
      <c r="J50" s="1270"/>
      <c r="K50" s="1270"/>
      <c r="L50" s="1273" t="s">
        <v>448</v>
      </c>
      <c r="M50" s="447"/>
      <c r="N50" s="447"/>
      <c r="O50" s="447"/>
      <c r="P50" s="2900">
        <v>1</v>
      </c>
      <c r="Q50" s="1389"/>
      <c r="R50" s="293"/>
      <c r="S50" s="972"/>
      <c r="T50" s="1310"/>
      <c r="U50" s="1311"/>
      <c r="V50" s="2929"/>
      <c r="W50" s="2929"/>
      <c r="X50" s="2929"/>
      <c r="Y50" s="2929"/>
      <c r="Z50" s="2929"/>
      <c r="AA50" s="2929"/>
      <c r="AB50" s="2929"/>
      <c r="AC50" s="2930"/>
      <c r="AD50" s="2928"/>
      <c r="AE50" s="2929"/>
      <c r="AF50" s="2929"/>
      <c r="AG50" s="2929"/>
      <c r="AH50" s="2929"/>
      <c r="AI50" s="2929"/>
      <c r="AJ50" s="2929"/>
      <c r="AK50" s="2929"/>
      <c r="AL50" s="2929"/>
      <c r="AM50" s="2929"/>
      <c r="AN50" s="2929"/>
      <c r="AO50" s="2929"/>
      <c r="AP50" s="2929"/>
      <c r="AQ50" s="2929"/>
      <c r="AR50" s="2929"/>
      <c r="AS50" s="2929"/>
      <c r="AT50" s="2929"/>
      <c r="AU50" s="2929"/>
      <c r="AV50" s="2929"/>
      <c r="AW50" s="2929"/>
      <c r="AX50" s="2929"/>
      <c r="AY50" s="2929"/>
      <c r="AZ50" s="2929"/>
      <c r="BA50" s="2929"/>
      <c r="BB50" s="2930"/>
      <c r="BC50" s="1312"/>
      <c r="BE50" s="437"/>
      <c r="BF50" s="437" t="str">
        <f t="shared" si="3"/>
        <v/>
      </c>
      <c r="BG50" s="437"/>
      <c r="BH50" s="437"/>
      <c r="BI50" s="448">
        <v>0</v>
      </c>
    </row>
    <row r="51" spans="1:61" s="1569" customFormat="1" ht="0" hidden="1" customHeight="1">
      <c r="A51" s="1270" t="s">
        <v>291</v>
      </c>
      <c r="B51" s="1270" t="s">
        <v>292</v>
      </c>
      <c r="C51" s="1270" t="s">
        <v>293</v>
      </c>
      <c r="D51" s="1270" t="s">
        <v>561</v>
      </c>
      <c r="E51" s="2897"/>
      <c r="F51" s="2897"/>
      <c r="G51" s="2897"/>
      <c r="H51" s="2897"/>
      <c r="I51" s="2899"/>
      <c r="J51" s="2898" t="str">
        <f>S49&amp;".1"</f>
        <v>.1</v>
      </c>
      <c r="K51" s="1270"/>
      <c r="L51" s="1273"/>
      <c r="M51" s="447"/>
      <c r="N51" s="447"/>
      <c r="O51" s="447"/>
      <c r="P51" s="2900"/>
      <c r="Q51" s="2900">
        <v>1</v>
      </c>
      <c r="R51" s="294"/>
      <c r="S51" s="972"/>
      <c r="T51" s="1326"/>
      <c r="U51" s="1311"/>
      <c r="V51" s="2929"/>
      <c r="W51" s="2929"/>
      <c r="X51" s="2929"/>
      <c r="Y51" s="2929"/>
      <c r="Z51" s="2929"/>
      <c r="AA51" s="2929"/>
      <c r="AB51" s="2929"/>
      <c r="AC51" s="2930"/>
      <c r="AD51" s="2928"/>
      <c r="AE51" s="2929"/>
      <c r="AF51" s="2929"/>
      <c r="AG51" s="2929"/>
      <c r="AH51" s="2929"/>
      <c r="AI51" s="2929"/>
      <c r="AJ51" s="2929"/>
      <c r="AK51" s="2929"/>
      <c r="AL51" s="2929"/>
      <c r="AM51" s="2929"/>
      <c r="AN51" s="2980"/>
      <c r="AO51" s="2980"/>
      <c r="AP51" s="2929"/>
      <c r="AQ51" s="2929"/>
      <c r="AR51" s="2929"/>
      <c r="AS51" s="2929"/>
      <c r="AT51" s="2929"/>
      <c r="AU51" s="2929"/>
      <c r="AV51" s="2929"/>
      <c r="AW51" s="2929"/>
      <c r="AX51" s="2929"/>
      <c r="AY51" s="2929"/>
      <c r="AZ51" s="2929"/>
      <c r="BA51" s="2929"/>
      <c r="BB51" s="2930"/>
      <c r="BC51" s="1312"/>
      <c r="BE51" s="437"/>
      <c r="BF51" s="437" t="str">
        <f t="shared" si="3"/>
        <v/>
      </c>
      <c r="BG51" s="437"/>
      <c r="BH51" s="437"/>
      <c r="BI51" s="448">
        <v>0</v>
      </c>
    </row>
    <row r="52" spans="1:61" ht="11.25" customHeight="1">
      <c r="A52" s="1290" t="s">
        <v>291</v>
      </c>
      <c r="B52" s="1290" t="s">
        <v>292</v>
      </c>
      <c r="C52" s="1290" t="s">
        <v>293</v>
      </c>
      <c r="D52" s="1290" t="s">
        <v>561</v>
      </c>
      <c r="E52" s="2897"/>
      <c r="F52" s="2897"/>
      <c r="G52" s="2897"/>
      <c r="H52" s="2897"/>
      <c r="I52" s="2899"/>
      <c r="J52" s="2899"/>
      <c r="K52" s="2898" t="str">
        <f>S48&amp;".1"</f>
        <v>...1</v>
      </c>
      <c r="L52" s="1291"/>
      <c r="P52" s="2900"/>
      <c r="Q52" s="2900"/>
      <c r="R52" s="294">
        <v>1</v>
      </c>
      <c r="S52" s="2954" t="str">
        <f>$K52</f>
        <v>...1</v>
      </c>
      <c r="T52" s="2974"/>
      <c r="U52" s="238"/>
      <c r="V52" s="688"/>
      <c r="W52" s="1184"/>
      <c r="X52" s="688"/>
      <c r="Y52" s="1184"/>
      <c r="Z52" s="1660"/>
      <c r="AA52" s="1386" t="s">
        <v>71</v>
      </c>
      <c r="AB52" s="1660"/>
      <c r="AC52" s="1386" t="s">
        <v>71</v>
      </c>
      <c r="AD52" s="2821" t="s">
        <v>71</v>
      </c>
      <c r="AE52" s="2950"/>
      <c r="AF52" s="2853">
        <v>1</v>
      </c>
      <c r="AG52" s="2973"/>
      <c r="AH52" s="2768" t="s">
        <v>71</v>
      </c>
      <c r="AI52" s="2950"/>
      <c r="AJ52" s="2853">
        <v>1</v>
      </c>
      <c r="AK52" s="2964" t="s">
        <v>30</v>
      </c>
      <c r="AL52" s="2768" t="s">
        <v>71</v>
      </c>
      <c r="AM52" s="2830"/>
      <c r="AN52" s="2853">
        <v>1</v>
      </c>
      <c r="AO52" s="2977"/>
      <c r="AP52" s="2978" t="s">
        <v>71</v>
      </c>
      <c r="AQ52" s="249"/>
      <c r="AR52" s="1390">
        <v>1</v>
      </c>
      <c r="AS52" s="1393" t="s">
        <v>30</v>
      </c>
      <c r="AT52" s="688"/>
      <c r="AU52" s="1184"/>
      <c r="AV52" s="688"/>
      <c r="AW52" s="1184"/>
      <c r="AX52" s="1660"/>
      <c r="AY52" s="1386" t="s">
        <v>71</v>
      </c>
      <c r="AZ52" s="1660"/>
      <c r="BA52" s="1386" t="s">
        <v>71</v>
      </c>
      <c r="BB52" s="1275"/>
      <c r="BC52" s="2919" t="s">
        <v>547</v>
      </c>
      <c r="BE52" s="437"/>
      <c r="BF52" s="437" t="str">
        <f t="shared" si="3"/>
        <v/>
      </c>
      <c r="BG52" s="437"/>
      <c r="BH52" s="437"/>
      <c r="BI52" s="1082">
        <v>11</v>
      </c>
    </row>
    <row r="53" spans="1:61" ht="11.25" customHeight="1">
      <c r="A53" s="1290"/>
      <c r="B53" s="1290"/>
      <c r="C53" s="1290"/>
      <c r="D53" s="1290"/>
      <c r="E53" s="2897"/>
      <c r="F53" s="2897"/>
      <c r="G53" s="2897"/>
      <c r="H53" s="2897"/>
      <c r="I53" s="2899"/>
      <c r="J53" s="2899"/>
      <c r="K53" s="2898"/>
      <c r="L53" s="1291"/>
      <c r="P53" s="2900"/>
      <c r="Q53" s="2900"/>
      <c r="R53" s="294"/>
      <c r="S53" s="2955"/>
      <c r="T53" s="2975"/>
      <c r="U53" s="238"/>
      <c r="V53" s="1320"/>
      <c r="W53" s="1423"/>
      <c r="X53" s="1320"/>
      <c r="Y53" s="1423"/>
      <c r="Z53" s="1320"/>
      <c r="AA53" s="1320"/>
      <c r="AB53" s="1320"/>
      <c r="AC53" s="1320"/>
      <c r="AD53" s="2822"/>
      <c r="AE53" s="2950"/>
      <c r="AF53" s="2853"/>
      <c r="AG53" s="2973"/>
      <c r="AH53" s="2768"/>
      <c r="AI53" s="2950"/>
      <c r="AJ53" s="2853"/>
      <c r="AK53" s="2964"/>
      <c r="AL53" s="2768"/>
      <c r="AM53" s="2835"/>
      <c r="AN53" s="2853"/>
      <c r="AO53" s="2977"/>
      <c r="AP53" s="2979"/>
      <c r="AQ53" s="254"/>
      <c r="AR53" s="353"/>
      <c r="AS53" s="353" t="s">
        <v>548</v>
      </c>
      <c r="AT53" s="1320"/>
      <c r="AU53" s="1423"/>
      <c r="AV53" s="1320"/>
      <c r="AW53" s="1423"/>
      <c r="AX53" s="1320"/>
      <c r="AY53" s="1320"/>
      <c r="AZ53" s="1320"/>
      <c r="BA53" s="1320"/>
      <c r="BB53" s="1324"/>
      <c r="BC53" s="2920"/>
      <c r="BE53" s="437"/>
      <c r="BF53" s="437"/>
      <c r="BG53" s="437"/>
      <c r="BH53" s="437"/>
      <c r="BI53" s="1082">
        <v>11</v>
      </c>
    </row>
    <row r="54" spans="1:61" ht="11.25" customHeight="1">
      <c r="A54" s="1290" t="s">
        <v>291</v>
      </c>
      <c r="B54" s="1290"/>
      <c r="C54" s="1290"/>
      <c r="D54" s="1290"/>
      <c r="E54" s="2897"/>
      <c r="F54" s="2897"/>
      <c r="G54" s="2897"/>
      <c r="H54" s="2897"/>
      <c r="I54" s="2899"/>
      <c r="J54" s="2899"/>
      <c r="K54" s="2898"/>
      <c r="L54" s="1291"/>
      <c r="P54" s="2900"/>
      <c r="Q54" s="2900"/>
      <c r="R54" s="294"/>
      <c r="S54" s="2955"/>
      <c r="T54" s="2975"/>
      <c r="U54" s="238"/>
      <c r="V54" s="1320"/>
      <c r="W54" s="1423"/>
      <c r="X54" s="1320"/>
      <c r="Y54" s="1423"/>
      <c r="Z54" s="1320"/>
      <c r="AA54" s="1320"/>
      <c r="AB54" s="1320"/>
      <c r="AC54" s="1320"/>
      <c r="AD54" s="2822"/>
      <c r="AE54" s="2950"/>
      <c r="AF54" s="2853"/>
      <c r="AG54" s="2973"/>
      <c r="AH54" s="2768"/>
      <c r="AI54" s="2950"/>
      <c r="AJ54" s="2853"/>
      <c r="AK54" s="2964"/>
      <c r="AL54" s="2768"/>
      <c r="AM54" s="254"/>
      <c r="AN54" s="1427"/>
      <c r="AO54" s="1427" t="s">
        <v>549</v>
      </c>
      <c r="AP54" s="353"/>
      <c r="AQ54" s="353"/>
      <c r="AR54" s="353"/>
      <c r="AS54" s="1320"/>
      <c r="AT54" s="1320"/>
      <c r="AU54" s="1423"/>
      <c r="AV54" s="1320"/>
      <c r="AW54" s="1423"/>
      <c r="AX54" s="1320"/>
      <c r="AY54" s="1320"/>
      <c r="AZ54" s="1320"/>
      <c r="BA54" s="1320"/>
      <c r="BB54" s="1324"/>
      <c r="BC54" s="2920"/>
      <c r="BE54" s="437"/>
      <c r="BF54" s="437"/>
      <c r="BG54" s="437"/>
      <c r="BH54" s="437"/>
      <c r="BI54" s="1082">
        <v>11</v>
      </c>
    </row>
    <row r="55" spans="1:61" ht="11.25" customHeight="1">
      <c r="A55" s="1290" t="s">
        <v>291</v>
      </c>
      <c r="B55" s="1290"/>
      <c r="C55" s="1290"/>
      <c r="D55" s="1290"/>
      <c r="E55" s="2897"/>
      <c r="F55" s="2897"/>
      <c r="G55" s="2897"/>
      <c r="H55" s="2897"/>
      <c r="I55" s="2899"/>
      <c r="J55" s="2899"/>
      <c r="K55" s="2898"/>
      <c r="L55" s="1291"/>
      <c r="P55" s="2900"/>
      <c r="Q55" s="2900"/>
      <c r="R55" s="294"/>
      <c r="S55" s="2955"/>
      <c r="T55" s="2975"/>
      <c r="U55" s="238"/>
      <c r="V55" s="1320"/>
      <c r="W55" s="1423"/>
      <c r="X55" s="1320"/>
      <c r="Y55" s="1423"/>
      <c r="Z55" s="1320"/>
      <c r="AA55" s="1320"/>
      <c r="AB55" s="1320"/>
      <c r="AC55" s="1320"/>
      <c r="AD55" s="2822"/>
      <c r="AE55" s="2950"/>
      <c r="AF55" s="2853"/>
      <c r="AG55" s="2973"/>
      <c r="AH55" s="2768"/>
      <c r="AI55" s="232"/>
      <c r="AJ55" s="352"/>
      <c r="AK55" s="251" t="s">
        <v>550</v>
      </c>
      <c r="AL55" s="1320"/>
      <c r="AM55" s="1320"/>
      <c r="AN55" s="1320"/>
      <c r="AO55" s="1320"/>
      <c r="AP55" s="1320"/>
      <c r="AQ55" s="1320"/>
      <c r="AR55" s="1320"/>
      <c r="AS55" s="1320"/>
      <c r="AT55" s="1320"/>
      <c r="AU55" s="1423"/>
      <c r="AV55" s="1320"/>
      <c r="AW55" s="1423"/>
      <c r="AX55" s="1320"/>
      <c r="AY55" s="1320"/>
      <c r="AZ55" s="1320"/>
      <c r="BA55" s="1320"/>
      <c r="BB55" s="1324"/>
      <c r="BC55" s="2920"/>
      <c r="BE55" s="437"/>
      <c r="BF55" s="437"/>
      <c r="BG55" s="437"/>
      <c r="BH55" s="437"/>
      <c r="BI55" s="1082">
        <v>11</v>
      </c>
    </row>
    <row r="56" spans="1:61" ht="11.25" customHeight="1">
      <c r="A56" s="1290" t="s">
        <v>291</v>
      </c>
      <c r="B56" s="1290" t="s">
        <v>292</v>
      </c>
      <c r="C56" s="1290" t="s">
        <v>293</v>
      </c>
      <c r="D56" s="1290" t="s">
        <v>561</v>
      </c>
      <c r="E56" s="2897"/>
      <c r="F56" s="2897"/>
      <c r="G56" s="2897"/>
      <c r="H56" s="2897"/>
      <c r="I56" s="2899"/>
      <c r="J56" s="2899"/>
      <c r="K56" s="2898"/>
      <c r="L56" s="1291"/>
      <c r="P56" s="2900"/>
      <c r="Q56" s="2900"/>
      <c r="R56" s="294"/>
      <c r="S56" s="2956"/>
      <c r="T56" s="2976"/>
      <c r="U56" s="238"/>
      <c r="V56" s="1320"/>
      <c r="W56" s="1321" t="str">
        <f>Z52&amp;"-"&amp;AB52</f>
        <v>-</v>
      </c>
      <c r="X56" s="1320"/>
      <c r="Y56" s="1321" t="str">
        <f>AB52&amp;"-"&amp;AD52</f>
        <v>-да</v>
      </c>
      <c r="Z56" s="1320"/>
      <c r="AA56" s="1320"/>
      <c r="AB56" s="1320"/>
      <c r="AC56" s="1320"/>
      <c r="AD56" s="2773"/>
      <c r="AE56" s="250"/>
      <c r="AF56" s="252"/>
      <c r="AG56" s="353" t="s">
        <v>551</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920"/>
      <c r="BE56" s="437"/>
      <c r="BF56" s="437" t="str">
        <f t="shared" ref="BF56:BF63" si="4">IF(T56="","",T56)</f>
        <v/>
      </c>
      <c r="BG56" s="437"/>
      <c r="BH56" s="437"/>
      <c r="BI56" s="1082">
        <v>11</v>
      </c>
    </row>
    <row r="57" spans="1:61" ht="11.25" customHeight="1">
      <c r="A57" s="1290" t="s">
        <v>291</v>
      </c>
      <c r="B57" s="1290" t="s">
        <v>292</v>
      </c>
      <c r="C57" s="1290" t="s">
        <v>293</v>
      </c>
      <c r="D57" s="1290" t="s">
        <v>561</v>
      </c>
      <c r="E57" s="2897"/>
      <c r="F57" s="2897"/>
      <c r="G57" s="2897"/>
      <c r="H57" s="2897"/>
      <c r="I57" s="2899"/>
      <c r="J57" s="2898"/>
      <c r="K57" s="1290"/>
      <c r="L57" s="1291"/>
      <c r="P57" s="2900"/>
      <c r="Q57" s="2900"/>
      <c r="R57" s="293"/>
      <c r="S57" s="1205"/>
      <c r="T57" s="225" t="s">
        <v>514</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921"/>
      <c r="BE57" s="437"/>
      <c r="BF57" s="437" t="str">
        <f t="shared" si="4"/>
        <v>Добавить строку</v>
      </c>
      <c r="BG57" s="437"/>
      <c r="BH57" s="437"/>
      <c r="BI57" s="1082">
        <v>11</v>
      </c>
    </row>
    <row r="58" spans="1:61" s="1569" customFormat="1" ht="0" hidden="1" customHeight="1">
      <c r="A58" s="1270" t="s">
        <v>291</v>
      </c>
      <c r="B58" s="1270" t="s">
        <v>292</v>
      </c>
      <c r="C58" s="1270" t="s">
        <v>293</v>
      </c>
      <c r="D58" s="1270" t="s">
        <v>561</v>
      </c>
      <c r="E58" s="2897"/>
      <c r="F58" s="2897"/>
      <c r="G58" s="2897"/>
      <c r="H58" s="2897"/>
      <c r="I58" s="2898"/>
      <c r="J58" s="1270"/>
      <c r="K58" s="1270"/>
      <c r="L58" s="1273"/>
      <c r="M58" s="447"/>
      <c r="N58" s="447"/>
      <c r="O58" s="447"/>
      <c r="P58" s="2900"/>
      <c r="Q58" s="1389"/>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291</v>
      </c>
      <c r="B59" s="1270" t="s">
        <v>292</v>
      </c>
      <c r="C59" s="1270" t="s">
        <v>293</v>
      </c>
      <c r="D59" s="1270" t="s">
        <v>561</v>
      </c>
      <c r="E59" s="2897"/>
      <c r="F59" s="2897"/>
      <c r="G59" s="2897"/>
      <c r="H59" s="289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291</v>
      </c>
      <c r="B60" s="1270" t="s">
        <v>292</v>
      </c>
      <c r="C60" s="1270" t="s">
        <v>293</v>
      </c>
      <c r="D60" s="1241"/>
      <c r="E60" s="2897"/>
      <c r="F60" s="2897"/>
      <c r="G60" s="2896"/>
      <c r="H60" s="1241"/>
      <c r="I60" s="1241"/>
      <c r="J60" s="1241"/>
      <c r="K60" s="1241"/>
      <c r="L60" s="139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291</v>
      </c>
      <c r="B61" s="1270" t="s">
        <v>292</v>
      </c>
      <c r="C61" s="1241"/>
      <c r="D61" s="1241"/>
      <c r="E61" s="2897"/>
      <c r="F61" s="2896"/>
      <c r="G61" s="1241"/>
      <c r="H61" s="1241"/>
      <c r="I61" s="1241"/>
      <c r="J61" s="1241"/>
      <c r="K61" s="1241"/>
      <c r="L61" s="1391"/>
      <c r="M61" s="1248"/>
      <c r="N61" s="1248"/>
      <c r="P61" s="1243"/>
      <c r="Q61" s="1244"/>
      <c r="R61" s="1243"/>
      <c r="S61" s="1249"/>
      <c r="T61" s="1252" t="s">
        <v>176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291</v>
      </c>
      <c r="B62" s="1270"/>
      <c r="C62" s="1270"/>
      <c r="D62" s="1270"/>
      <c r="E62" s="2896"/>
      <c r="F62" s="1270"/>
      <c r="G62" s="1270"/>
      <c r="H62" s="1270"/>
      <c r="I62" s="1270"/>
      <c r="J62" s="1270"/>
      <c r="K62" s="1270"/>
      <c r="L62" s="1273"/>
      <c r="M62" s="1248"/>
      <c r="N62" s="1248"/>
      <c r="O62" s="455"/>
      <c r="P62" s="317"/>
      <c r="Q62" s="1271"/>
      <c r="R62" s="317"/>
      <c r="S62" s="1249"/>
      <c r="T62" s="1252" t="s">
        <v>178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391"/>
      <c r="M63" s="1248"/>
      <c r="N63" s="1248"/>
      <c r="P63" s="1243"/>
      <c r="Q63" s="1244"/>
      <c r="R63" s="1243"/>
      <c r="S63" s="1249"/>
      <c r="T63" s="1252" t="s">
        <v>212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25" customHeight="1">
      <c r="M64" s="1087"/>
      <c r="N64" s="1087"/>
      <c r="O64" s="474"/>
      <c r="P64" s="1087"/>
      <c r="Q64" s="1087"/>
      <c r="R64" s="1082"/>
      <c r="S64" s="1082"/>
      <c r="BD64" s="1082"/>
      <c r="BE64" s="1082"/>
      <c r="BF64" s="1082"/>
      <c r="BG64" s="1082"/>
      <c r="BH64" s="1082"/>
      <c r="BI64" s="1082">
        <v>11</v>
      </c>
    </row>
    <row r="65" spans="1:61" ht="20.25" customHeight="1">
      <c r="O65" s="474"/>
      <c r="S65" s="1180"/>
      <c r="T65" s="2895"/>
      <c r="U65" s="2895"/>
      <c r="V65" s="2895"/>
      <c r="W65" s="2895"/>
      <c r="X65" s="2895"/>
      <c r="Y65" s="2895"/>
      <c r="Z65" s="2895"/>
      <c r="AA65" s="2895"/>
      <c r="AB65" s="2895"/>
      <c r="AC65" s="2895"/>
      <c r="AD65" s="2895"/>
      <c r="AE65" s="2895"/>
      <c r="AF65" s="2895"/>
      <c r="AG65" s="2895"/>
      <c r="AH65" s="2895"/>
      <c r="AI65" s="2895"/>
      <c r="AJ65" s="2895"/>
      <c r="AK65" s="2895"/>
      <c r="AL65" s="2895"/>
      <c r="AM65" s="2895"/>
      <c r="AN65" s="2895"/>
      <c r="AO65" s="2895"/>
      <c r="AP65" s="2895"/>
      <c r="AQ65" s="2895"/>
      <c r="AR65" s="2895"/>
      <c r="AS65" s="2895"/>
      <c r="AT65" s="2895"/>
      <c r="AU65" s="2895"/>
      <c r="AV65" s="2895"/>
      <c r="AW65" s="2895"/>
      <c r="AX65" s="2895"/>
      <c r="AY65" s="2895"/>
      <c r="AZ65" s="2895"/>
      <c r="BA65" s="2895"/>
      <c r="BB65" s="2895"/>
      <c r="BC65" s="2895"/>
      <c r="BI65" s="1082">
        <v>19</v>
      </c>
    </row>
    <row r="66" spans="1:61" ht="15" customHeight="1">
      <c r="O66" s="474"/>
      <c r="T66" s="1376"/>
      <c r="U66" s="1376"/>
      <c r="V66" s="1376"/>
      <c r="W66" s="1376"/>
      <c r="X66" s="1376"/>
      <c r="Y66" s="1376"/>
      <c r="Z66" s="1376"/>
      <c r="AA66" s="1376"/>
      <c r="AB66" s="1376"/>
      <c r="AC66" s="1376"/>
      <c r="AD66" s="1376"/>
      <c r="AE66" s="1376"/>
      <c r="AF66" s="1376"/>
      <c r="AG66" s="1376"/>
      <c r="AH66" s="1376"/>
      <c r="AI66" s="1376"/>
      <c r="AJ66" s="1376"/>
      <c r="AK66" s="1376"/>
      <c r="AL66" s="1376"/>
      <c r="AM66" s="1376"/>
      <c r="AN66" s="1376"/>
      <c r="AO66" s="1376"/>
      <c r="AP66" s="1376"/>
      <c r="AQ66" s="1376"/>
      <c r="AR66" s="1376"/>
      <c r="AS66" s="1376"/>
      <c r="AT66" s="1376"/>
      <c r="AU66" s="1376"/>
      <c r="AV66" s="1376"/>
      <c r="AW66" s="1376"/>
      <c r="AX66" s="1376"/>
      <c r="AY66" s="1376"/>
      <c r="AZ66" s="1376"/>
      <c r="BA66" s="1376"/>
      <c r="BB66" s="1376"/>
      <c r="BC66" s="1376"/>
      <c r="BI66" s="1082">
        <v>14</v>
      </c>
    </row>
    <row r="67" spans="1:61" ht="20.25" customHeight="1">
      <c r="O67" s="474"/>
      <c r="S67" s="1180"/>
      <c r="T67" s="2895"/>
      <c r="U67" s="2895"/>
      <c r="V67" s="2895"/>
      <c r="W67" s="2895"/>
      <c r="X67" s="2895"/>
      <c r="Y67" s="2895"/>
      <c r="Z67" s="2895"/>
      <c r="AA67" s="2895"/>
      <c r="AB67" s="2895"/>
      <c r="AC67" s="2895"/>
      <c r="AD67" s="2895"/>
      <c r="AE67" s="2895"/>
      <c r="AF67" s="2895"/>
      <c r="AG67" s="2895"/>
      <c r="AH67" s="2895"/>
      <c r="AI67" s="2895"/>
      <c r="AJ67" s="2895"/>
      <c r="AK67" s="2895"/>
      <c r="AL67" s="2895"/>
      <c r="AM67" s="2895"/>
      <c r="AN67" s="2895"/>
      <c r="AO67" s="2895"/>
      <c r="AP67" s="2895"/>
      <c r="AQ67" s="2895"/>
      <c r="AR67" s="2895"/>
      <c r="AS67" s="2895"/>
      <c r="AT67" s="2895"/>
      <c r="AU67" s="2895"/>
      <c r="AV67" s="2895"/>
      <c r="AW67" s="2895"/>
      <c r="AX67" s="2895"/>
      <c r="AY67" s="2895"/>
      <c r="AZ67" s="2895"/>
      <c r="BA67" s="2895"/>
      <c r="BB67" s="2895"/>
      <c r="BC67" s="2895"/>
      <c r="BI67" s="1082">
        <v>19</v>
      </c>
    </row>
    <row r="68" spans="1:61" ht="15" customHeight="1">
      <c r="O68" s="474"/>
      <c r="BI68" s="1082">
        <v>14</v>
      </c>
    </row>
    <row r="69" spans="1:61" ht="14.25" hidden="1" customHeight="1">
      <c r="A69" s="1087" t="s">
        <v>87</v>
      </c>
      <c r="B69" s="1087">
        <v>0</v>
      </c>
      <c r="C69" s="1087">
        <v>0</v>
      </c>
      <c r="D69" s="1087">
        <v>0</v>
      </c>
      <c r="E69" s="1087">
        <v>0</v>
      </c>
      <c r="F69" s="1087">
        <v>0</v>
      </c>
      <c r="G69" s="1087">
        <v>0</v>
      </c>
      <c r="H69" s="1087">
        <v>0</v>
      </c>
      <c r="I69" s="1087">
        <v>0</v>
      </c>
      <c r="J69" s="1087">
        <v>0</v>
      </c>
      <c r="K69" s="1087">
        <v>0</v>
      </c>
      <c r="L69" s="1388">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AM8:AM9"/>
    <mergeCell ref="AN8:AN9"/>
    <mergeCell ref="AO8:AO9"/>
    <mergeCell ref="AP8:AP9"/>
    <mergeCell ref="AD8:AD12"/>
    <mergeCell ref="V5:AC5"/>
    <mergeCell ref="AD5:BB5"/>
    <mergeCell ref="I6:I14"/>
    <mergeCell ref="P6:P14"/>
    <mergeCell ref="V6:AC6"/>
    <mergeCell ref="AD6:BB6"/>
    <mergeCell ref="J7:J13"/>
    <mergeCell ref="Q7:Q13"/>
    <mergeCell ref="V7:AC7"/>
    <mergeCell ref="AD7:BB7"/>
    <mergeCell ref="K8:K12"/>
    <mergeCell ref="R8:R12"/>
    <mergeCell ref="S8:S12"/>
    <mergeCell ref="T8:T12"/>
    <mergeCell ref="AH8:AH11"/>
    <mergeCell ref="AI8:AI10"/>
    <mergeCell ref="AJ8:AJ10"/>
    <mergeCell ref="S28:AZ28"/>
    <mergeCell ref="S29:AZ29"/>
    <mergeCell ref="BC8:BC13"/>
    <mergeCell ref="AK8:AK10"/>
    <mergeCell ref="AL8:AL10"/>
    <mergeCell ref="AE8:AE11"/>
    <mergeCell ref="AF8:AF11"/>
    <mergeCell ref="AG8:AG11"/>
    <mergeCell ref="S31:T31"/>
    <mergeCell ref="V31:AB31"/>
    <mergeCell ref="AD31:AZ31"/>
    <mergeCell ref="K52:K56"/>
    <mergeCell ref="S52:S56"/>
    <mergeCell ref="S32:T32"/>
    <mergeCell ref="V32:AB32"/>
    <mergeCell ref="AD32:AZ32"/>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AA45:AB45"/>
    <mergeCell ref="AY45:AZ45"/>
    <mergeCell ref="AD50:BB50"/>
    <mergeCell ref="BC40:BC44"/>
    <mergeCell ref="S41:S44"/>
    <mergeCell ref="T41:T44"/>
    <mergeCell ref="AC41:AC44"/>
    <mergeCell ref="AD41:AG44"/>
    <mergeCell ref="AH41:AK44"/>
    <mergeCell ref="X42:Y43"/>
    <mergeCell ref="V41:AB41"/>
    <mergeCell ref="AP41:AS44"/>
    <mergeCell ref="AT41:AZ41"/>
    <mergeCell ref="AT42:AU43"/>
    <mergeCell ref="AV42:AW43"/>
    <mergeCell ref="AX42:AZ43"/>
    <mergeCell ref="AA44:AB44"/>
    <mergeCell ref="AY44:AZ44"/>
    <mergeCell ref="AL41:AO44"/>
    <mergeCell ref="BA41:BA44"/>
    <mergeCell ref="BB41:BB44"/>
    <mergeCell ref="V42:W43"/>
    <mergeCell ref="Z42:AB43"/>
    <mergeCell ref="E46:E62"/>
    <mergeCell ref="V46:AC46"/>
    <mergeCell ref="AD46:BB46"/>
    <mergeCell ref="F47:F61"/>
    <mergeCell ref="V47:AC47"/>
    <mergeCell ref="AM52:AM53"/>
    <mergeCell ref="AN52:AN53"/>
    <mergeCell ref="AO52:AO53"/>
    <mergeCell ref="AP52:AP53"/>
    <mergeCell ref="AD52:AD56"/>
    <mergeCell ref="G48:G60"/>
    <mergeCell ref="V48:AC48"/>
    <mergeCell ref="AD48:BB48"/>
    <mergeCell ref="H49:H59"/>
    <mergeCell ref="V49:AC49"/>
    <mergeCell ref="AD49:BB49"/>
    <mergeCell ref="AD47:BB47"/>
    <mergeCell ref="I50:I58"/>
    <mergeCell ref="P50:P58"/>
    <mergeCell ref="V50:AC50"/>
    <mergeCell ref="J51:J57"/>
    <mergeCell ref="Q51:Q57"/>
    <mergeCell ref="V51:AC51"/>
    <mergeCell ref="AD51:BB51"/>
    <mergeCell ref="T67:BC67"/>
    <mergeCell ref="AK52:AK54"/>
    <mergeCell ref="AL52:AL54"/>
    <mergeCell ref="AE52:AE55"/>
    <mergeCell ref="AF52:AF55"/>
    <mergeCell ref="AG52:AG55"/>
    <mergeCell ref="AH52:AH55"/>
    <mergeCell ref="AI52:AI54"/>
    <mergeCell ref="AJ52:AJ54"/>
    <mergeCell ref="BC52:BC57"/>
    <mergeCell ref="T52:T56"/>
    <mergeCell ref="T65:BC65"/>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896">
        <v>1</v>
      </c>
      <c r="F2" s="1290"/>
      <c r="G2" s="1290"/>
      <c r="H2" s="1290"/>
      <c r="I2" s="1290"/>
      <c r="J2" s="1290"/>
      <c r="K2" s="1290"/>
      <c r="L2" s="1291"/>
      <c r="M2" s="1292"/>
      <c r="N2" s="1292"/>
      <c r="O2" s="1292"/>
      <c r="P2" s="298"/>
      <c r="Q2" s="297"/>
      <c r="R2" s="292"/>
      <c r="S2" s="1420" t="e">
        <f>INDEX(PT_DIFFERENTIATION_NUM_NTAR,MATCH(A2,PT_DIFFERENTIATION_NTAR_ID,0))</f>
        <v>#N/A</v>
      </c>
      <c r="T2" s="236" t="s">
        <v>128</v>
      </c>
      <c r="U2" s="238"/>
      <c r="V2" s="2890"/>
      <c r="W2" s="2891"/>
      <c r="X2" s="2891"/>
      <c r="Y2" s="2891"/>
      <c r="Z2" s="2891"/>
      <c r="AA2" s="2891"/>
      <c r="AB2" s="2892"/>
      <c r="AC2" s="2890" t="e">
        <f>INDEX(PT_DIFFERENTIATION_NTAR,MATCH(A2,PT_DIFFERENTIATION_NTAR_ID,0))</f>
        <v>#N/A</v>
      </c>
      <c r="AD2" s="2891"/>
      <c r="AE2" s="2891"/>
      <c r="AF2" s="2891"/>
      <c r="AG2" s="2891"/>
      <c r="AH2" s="2891"/>
      <c r="AI2" s="2891"/>
      <c r="AJ2" s="289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97"/>
      <c r="F3" s="2896">
        <v>1</v>
      </c>
      <c r="G3" s="1290"/>
      <c r="H3" s="1290"/>
      <c r="I3" s="1290"/>
      <c r="J3" s="1290"/>
      <c r="K3" s="1290"/>
      <c r="L3" s="1291"/>
      <c r="M3" s="1292"/>
      <c r="N3" s="1292"/>
      <c r="O3" s="1292"/>
      <c r="P3" s="1414"/>
      <c r="Q3" s="289"/>
      <c r="R3" s="290"/>
      <c r="S3" s="1420" t="e">
        <f>INDEX(PT_DIFFERENTIATION_NUM_TER,MATCH(B3,PT_DIFFERENTIATION_TER_ID,0))</f>
        <v>#N/A</v>
      </c>
      <c r="T3" s="246" t="s">
        <v>442</v>
      </c>
      <c r="U3" s="238"/>
      <c r="V3" s="2890"/>
      <c r="W3" s="2891"/>
      <c r="X3" s="2891"/>
      <c r="Y3" s="2891"/>
      <c r="Z3" s="2891"/>
      <c r="AA3" s="2891"/>
      <c r="AB3" s="2892"/>
      <c r="AC3" s="2890" t="e">
        <f>INDEX(PT_DIFFERENTIATION_TER,MATCH(B3,PT_DIFFERENTIATION_TER_ID,0))</f>
        <v>#N/A</v>
      </c>
      <c r="AD3" s="2891"/>
      <c r="AE3" s="2891"/>
      <c r="AF3" s="2891"/>
      <c r="AG3" s="2891"/>
      <c r="AH3" s="2891"/>
      <c r="AI3" s="2891"/>
      <c r="AJ3" s="2892"/>
      <c r="AK3" s="1185" t="s">
        <v>443</v>
      </c>
      <c r="AM3" s="437"/>
      <c r="AN3" s="437" t="str">
        <f t="shared" si="0"/>
        <v>Территория действия тарифа</v>
      </c>
      <c r="AO3" s="437"/>
      <c r="AP3" s="437"/>
      <c r="AQ3" s="1082">
        <v>0</v>
      </c>
    </row>
    <row r="4" spans="1:43" ht="23.25" hidden="1" customHeight="1">
      <c r="A4" s="1290"/>
      <c r="B4" s="1290"/>
      <c r="C4" s="1290"/>
      <c r="D4" s="1290"/>
      <c r="E4" s="2897"/>
      <c r="F4" s="2897"/>
      <c r="G4" s="2896">
        <v>1</v>
      </c>
      <c r="H4" s="1290"/>
      <c r="I4" s="1290"/>
      <c r="J4" s="1290"/>
      <c r="K4" s="1290"/>
      <c r="L4" s="1291"/>
      <c r="M4" s="1292"/>
      <c r="N4" s="1292"/>
      <c r="O4" s="1292"/>
      <c r="P4" s="291"/>
      <c r="Q4" s="289"/>
      <c r="R4" s="290"/>
      <c r="S4" s="1420" t="e">
        <f>INDEX(PT_DIFFERENTIATION_NUM_CS,MATCH(C4,PT_DIFFERENTIATION_CS_ID,0))</f>
        <v>#N/A</v>
      </c>
      <c r="T4" s="247" t="s">
        <v>562</v>
      </c>
      <c r="U4" s="238"/>
      <c r="V4" s="2890"/>
      <c r="W4" s="2891"/>
      <c r="X4" s="2891"/>
      <c r="Y4" s="2891"/>
      <c r="Z4" s="2891"/>
      <c r="AA4" s="2891"/>
      <c r="AB4" s="2892"/>
      <c r="AC4" s="2890" t="e">
        <f>INDEX(PT_DIFFERENTIATION_CS,MATCH(C4,PT_DIFFERENTIATION_CS_ID,0))</f>
        <v>#N/A</v>
      </c>
      <c r="AD4" s="2891"/>
      <c r="AE4" s="2891"/>
      <c r="AF4" s="2891"/>
      <c r="AG4" s="2891"/>
      <c r="AH4" s="2891"/>
      <c r="AI4" s="2891"/>
      <c r="AJ4" s="2892"/>
      <c r="AK4" s="1185" t="s">
        <v>563</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897"/>
      <c r="F5" s="2897"/>
      <c r="G5" s="2897"/>
      <c r="H5" s="2897"/>
      <c r="I5" s="2898" t="e">
        <f>S4&amp;".1"</f>
        <v>#N/A</v>
      </c>
      <c r="J5" s="1290"/>
      <c r="K5" s="1290"/>
      <c r="L5" s="1291"/>
      <c r="P5" s="2900">
        <v>1</v>
      </c>
      <c r="Q5" s="1408"/>
      <c r="R5" s="293"/>
      <c r="S5" s="1420" t="e">
        <f>$I5</f>
        <v>#N/A</v>
      </c>
      <c r="T5" s="223" t="s">
        <v>529</v>
      </c>
      <c r="U5" s="238"/>
      <c r="V5" s="2965"/>
      <c r="W5" s="2966"/>
      <c r="X5" s="2966"/>
      <c r="Y5" s="2966"/>
      <c r="Z5" s="2966"/>
      <c r="AA5" s="2966"/>
      <c r="AB5" s="2967"/>
      <c r="AC5" s="2968"/>
      <c r="AD5" s="2969"/>
      <c r="AE5" s="2969"/>
      <c r="AF5" s="2969"/>
      <c r="AG5" s="2969"/>
      <c r="AH5" s="2969"/>
      <c r="AI5" s="2969"/>
      <c r="AJ5" s="2970"/>
      <c r="AK5" s="1185" t="s">
        <v>530</v>
      </c>
      <c r="AM5" s="437"/>
      <c r="AN5" s="437" t="str">
        <f t="shared" si="0"/>
        <v>Наименование признака дифференциации</v>
      </c>
      <c r="AO5" s="437"/>
      <c r="AP5" s="437"/>
      <c r="AQ5" s="1082">
        <v>0</v>
      </c>
    </row>
    <row r="6" spans="1:43" ht="23.25" hidden="1" customHeight="1">
      <c r="A6" s="1290"/>
      <c r="B6" s="1290"/>
      <c r="C6" s="1290"/>
      <c r="D6" s="1290"/>
      <c r="E6" s="2897"/>
      <c r="F6" s="2897"/>
      <c r="G6" s="2897"/>
      <c r="H6" s="2897"/>
      <c r="I6" s="2899"/>
      <c r="J6" s="2898" t="e">
        <f>I5&amp;".1"</f>
        <v>#N/A</v>
      </c>
      <c r="K6" s="1290"/>
      <c r="L6" s="1291" t="s">
        <v>451</v>
      </c>
      <c r="P6" s="2900"/>
      <c r="Q6" s="2900">
        <v>1</v>
      </c>
      <c r="R6" s="294"/>
      <c r="S6" s="1420" t="e">
        <f>$J6</f>
        <v>#N/A</v>
      </c>
      <c r="T6" s="224" t="s">
        <v>452</v>
      </c>
      <c r="U6" s="238"/>
      <c r="V6" s="2884"/>
      <c r="W6" s="2885"/>
      <c r="X6" s="2885"/>
      <c r="Y6" s="2885"/>
      <c r="Z6" s="2885"/>
      <c r="AA6" s="2885"/>
      <c r="AB6" s="2886"/>
      <c r="AC6" s="2884"/>
      <c r="AD6" s="2885"/>
      <c r="AE6" s="2885"/>
      <c r="AF6" s="2885"/>
      <c r="AG6" s="2885"/>
      <c r="AH6" s="2885"/>
      <c r="AI6" s="2885"/>
      <c r="AJ6" s="2886"/>
      <c r="AK6" s="1234" t="s">
        <v>531</v>
      </c>
      <c r="AM6" s="437"/>
      <c r="AN6" s="437" t="str">
        <f t="shared" si="0"/>
        <v>Группа потребителей</v>
      </c>
      <c r="AO6" s="437"/>
      <c r="AP6" s="437"/>
      <c r="AQ6" s="1082">
        <v>0</v>
      </c>
    </row>
    <row r="7" spans="1:43" ht="23.25" hidden="1" customHeight="1">
      <c r="A7" s="1290"/>
      <c r="B7" s="1290"/>
      <c r="C7" s="1290"/>
      <c r="D7" s="1290"/>
      <c r="E7" s="2897"/>
      <c r="F7" s="2897"/>
      <c r="G7" s="2897"/>
      <c r="H7" s="2897"/>
      <c r="I7" s="2899"/>
      <c r="J7" s="2899"/>
      <c r="K7" s="2898" t="e">
        <f>J6&amp;".1"</f>
        <v>#N/A</v>
      </c>
      <c r="L7" s="1291"/>
      <c r="P7" s="2900"/>
      <c r="Q7" s="2900"/>
      <c r="R7" s="294">
        <v>1</v>
      </c>
      <c r="S7" s="1420" t="e">
        <f>$K7</f>
        <v>#N/A</v>
      </c>
      <c r="T7" s="1364"/>
      <c r="U7" s="238"/>
      <c r="V7" s="688"/>
      <c r="W7" s="688"/>
      <c r="X7" s="1184"/>
      <c r="Y7" s="2901"/>
      <c r="Z7" s="2768" t="s">
        <v>71</v>
      </c>
      <c r="AA7" s="2901"/>
      <c r="AB7" s="2768" t="s">
        <v>71</v>
      </c>
      <c r="AC7" s="688"/>
      <c r="AD7" s="688"/>
      <c r="AE7" s="1184"/>
      <c r="AF7" s="2901"/>
      <c r="AG7" s="2768" t="s">
        <v>71</v>
      </c>
      <c r="AH7" s="2903"/>
      <c r="AI7" s="2768" t="s">
        <v>71</v>
      </c>
      <c r="AJ7" s="1365"/>
      <c r="AK7" s="29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97"/>
      <c r="F8" s="2897"/>
      <c r="G8" s="2897"/>
      <c r="H8" s="2897"/>
      <c r="I8" s="2899"/>
      <c r="J8" s="2899"/>
      <c r="K8" s="2898"/>
      <c r="L8" s="1291"/>
      <c r="P8" s="2900"/>
      <c r="Q8" s="2900"/>
      <c r="R8" s="294"/>
      <c r="S8" s="1417"/>
      <c r="T8" s="238"/>
      <c r="U8" s="238"/>
      <c r="V8" s="263"/>
      <c r="W8" s="263"/>
      <c r="X8" s="266" t="str">
        <f>Y7&amp;"-"&amp;AA7</f>
        <v>-</v>
      </c>
      <c r="Y8" s="2902"/>
      <c r="Z8" s="2768"/>
      <c r="AA8" s="2902"/>
      <c r="AB8" s="2768"/>
      <c r="AC8" s="263"/>
      <c r="AD8" s="263"/>
      <c r="AE8" s="266" t="str">
        <f>AF7&amp;"-"&amp;AH7</f>
        <v>-</v>
      </c>
      <c r="AF8" s="2902"/>
      <c r="AG8" s="2768"/>
      <c r="AH8" s="2904"/>
      <c r="AI8" s="2768"/>
      <c r="AJ8" s="1366"/>
      <c r="AK8" s="2971"/>
      <c r="AM8" s="437"/>
      <c r="AN8" s="437" t="str">
        <f t="shared" si="0"/>
        <v/>
      </c>
      <c r="AO8" s="437"/>
      <c r="AP8" s="437"/>
      <c r="AQ8" s="1082">
        <v>0</v>
      </c>
    </row>
    <row r="9" spans="1:43" ht="21" hidden="1" customHeight="1">
      <c r="A9" s="1290"/>
      <c r="B9" s="1290"/>
      <c r="C9" s="1290"/>
      <c r="D9" s="1290"/>
      <c r="E9" s="2897"/>
      <c r="F9" s="2897"/>
      <c r="G9" s="2897"/>
      <c r="H9" s="2897"/>
      <c r="I9" s="2899"/>
      <c r="J9" s="2898"/>
      <c r="K9" s="1290"/>
      <c r="L9" s="1291"/>
      <c r="P9" s="2900"/>
      <c r="Q9" s="2900"/>
      <c r="R9" s="293"/>
      <c r="S9" s="1205"/>
      <c r="T9" s="225" t="s">
        <v>532</v>
      </c>
      <c r="U9" s="304"/>
      <c r="V9" s="304"/>
      <c r="W9" s="304"/>
      <c r="X9" s="304"/>
      <c r="Y9" s="304"/>
      <c r="Z9" s="304"/>
      <c r="AA9" s="304"/>
      <c r="AB9" s="304"/>
      <c r="AC9" s="304"/>
      <c r="AD9" s="304"/>
      <c r="AE9" s="304"/>
      <c r="AF9" s="304"/>
      <c r="AG9" s="304"/>
      <c r="AH9" s="304"/>
      <c r="AI9" s="304"/>
      <c r="AJ9" s="304"/>
      <c r="AK9" s="1185" t="s">
        <v>533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97"/>
      <c r="F10" s="2897"/>
      <c r="G10" s="2897"/>
      <c r="H10" s="2897"/>
      <c r="I10" s="2898"/>
      <c r="J10" s="1290"/>
      <c r="K10" s="1290"/>
      <c r="L10" s="1291"/>
      <c r="P10" s="2900"/>
      <c r="Q10" s="1408"/>
      <c r="R10" s="293"/>
      <c r="S10" s="1205"/>
      <c r="T10" s="302" t="s">
        <v>457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97"/>
      <c r="F11" s="2897"/>
      <c r="G11" s="2897"/>
      <c r="H11" s="2896"/>
      <c r="I11" s="1290"/>
      <c r="J11" s="1290"/>
      <c r="K11" s="1290"/>
      <c r="L11" s="1291"/>
      <c r="M11" s="1292"/>
      <c r="N11" s="1292"/>
      <c r="O11" s="474"/>
      <c r="P11" s="297"/>
      <c r="Q11" s="312"/>
      <c r="R11" s="292"/>
      <c r="S11" s="1205"/>
      <c r="T11" s="309" t="s">
        <v>534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97"/>
      <c r="F12" s="2896"/>
      <c r="G12" s="1241"/>
      <c r="H12" s="1241"/>
      <c r="I12" s="1241"/>
      <c r="J12" s="1241"/>
      <c r="K12" s="1241"/>
      <c r="L12" s="1421"/>
      <c r="M12" s="1248"/>
      <c r="N12" s="1248"/>
      <c r="P12" s="1243"/>
      <c r="Q12" s="1244"/>
      <c r="R12" s="1243"/>
      <c r="S12" s="1249"/>
      <c r="T12" s="1252" t="s">
        <v>176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96"/>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894"/>
      <c r="AG15" s="2893" t="s">
        <v>71</v>
      </c>
      <c r="AH15" s="2894"/>
      <c r="AI15" s="2893" t="s">
        <v>71</v>
      </c>
      <c r="AQ15" s="1082">
        <v>0</v>
      </c>
    </row>
    <row r="16" spans="1:43" ht="14.25" hidden="1" customHeight="1">
      <c r="AC16" s="1287"/>
      <c r="AD16" s="1287"/>
      <c r="AE16" s="266" t="str">
        <f>AF15&amp;"-"&amp;AH15</f>
        <v>-</v>
      </c>
      <c r="AF16" s="2893"/>
      <c r="AG16" s="2893"/>
      <c r="AH16" s="2893"/>
      <c r="AI16" s="2893"/>
      <c r="AQ16" s="1082">
        <v>0</v>
      </c>
    </row>
    <row r="17" spans="1:43" ht="14.25" hidden="1" customHeight="1">
      <c r="AI17" s="265"/>
      <c r="AQ17" s="1082">
        <v>0</v>
      </c>
    </row>
    <row r="18" spans="1:43" s="1293" customFormat="1" ht="22.5" hidden="1" customHeight="1">
      <c r="L18" s="1405"/>
      <c r="M18" s="1289"/>
      <c r="N18" s="1289"/>
      <c r="O18" s="1294" t="s">
        <v>459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460</v>
      </c>
      <c r="P20" s="1289"/>
      <c r="Q20" s="1369"/>
      <c r="R20" s="1369"/>
      <c r="S20" s="666"/>
      <c r="T20" s="1087" t="s">
        <v>461</v>
      </c>
      <c r="Z20" s="124" t="s">
        <v>462</v>
      </c>
      <c r="AB20" s="124" t="s">
        <v>463</v>
      </c>
      <c r="AC20" s="1087" t="s">
        <v>461</v>
      </c>
      <c r="AG20" s="124" t="s">
        <v>464</v>
      </c>
      <c r="AI20" s="124" t="s">
        <v>463</v>
      </c>
      <c r="AQ20" s="1087">
        <v>0</v>
      </c>
    </row>
    <row r="21" spans="1:43" ht="14.25" hidden="1" customHeight="1">
      <c r="O21" s="1291"/>
      <c r="AQ21" s="1082">
        <v>0</v>
      </c>
    </row>
    <row r="22" spans="1:43" ht="14.25" hidden="1" customHeight="1">
      <c r="O22" s="1291"/>
      <c r="AQ22" s="1082">
        <v>0</v>
      </c>
    </row>
    <row r="23" spans="1:43" ht="1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5" customHeight="1">
      <c r="Q24" s="313"/>
      <c r="R24" s="313"/>
      <c r="S24" s="287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877"/>
      <c r="U24" s="2877"/>
      <c r="V24" s="2877"/>
      <c r="W24" s="2877"/>
      <c r="X24" s="2877"/>
      <c r="Y24" s="2877"/>
      <c r="Z24" s="2877"/>
      <c r="AA24" s="2877"/>
      <c r="AB24" s="2877"/>
      <c r="AC24" s="2877"/>
      <c r="AD24" s="2877"/>
      <c r="AE24" s="2877"/>
      <c r="AF24" s="2877"/>
      <c r="AG24" s="2877"/>
      <c r="AH24" s="2877"/>
      <c r="AI24" s="1170"/>
      <c r="AQ24" s="1082">
        <v>14</v>
      </c>
    </row>
    <row r="25" spans="1:43" ht="15" customHeight="1">
      <c r="Q25" s="313"/>
      <c r="R25" s="313"/>
      <c r="S25" s="2849" t="str">
        <f>IF(org=0,"Не определено",org)</f>
        <v>ТМУП "ТТС"</v>
      </c>
      <c r="T25" s="2849"/>
      <c r="U25" s="2849"/>
      <c r="V25" s="2849"/>
      <c r="W25" s="2849"/>
      <c r="X25" s="2849"/>
      <c r="Y25" s="2849"/>
      <c r="Z25" s="2849"/>
      <c r="AA25" s="2849"/>
      <c r="AB25" s="2849"/>
      <c r="AC25" s="2849"/>
      <c r="AD25" s="2849"/>
      <c r="AE25" s="2849"/>
      <c r="AF25" s="2849"/>
      <c r="AG25" s="2849"/>
      <c r="AH25" s="284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887" t="s">
        <v>46</v>
      </c>
      <c r="T27" s="2887"/>
      <c r="U27" s="1299"/>
      <c r="V27" s="2889" t="str">
        <f>IF(TITLE_NAME_OR_PR_CHANGE="",IF(TITLE_NAME_OR_PR="","",TITLE_NAME_OR_PR),TITLE_NAME_OR_PR_CHANGE)</f>
        <v/>
      </c>
      <c r="W27" s="2889"/>
      <c r="X27" s="2889"/>
      <c r="Y27" s="2889"/>
      <c r="Z27" s="2889"/>
      <c r="AA27" s="2889"/>
      <c r="AB27" s="264"/>
      <c r="AC27" s="2889" t="str">
        <f>IF(TITLE_NAME_OR_PR_CHANGE="",IF(TITLE_NAME_OR_PR="","",TITLE_NAME_OR_PR),TITLE_NAME_OR_PR_CHANGE)</f>
        <v/>
      </c>
      <c r="AD27" s="2889"/>
      <c r="AE27" s="2889"/>
      <c r="AF27" s="2889"/>
      <c r="AG27" s="2889"/>
      <c r="AH27" s="288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887" t="s">
        <v>465</v>
      </c>
      <c r="T28" s="2887"/>
      <c r="U28" s="1299"/>
      <c r="V28" s="2888" t="str">
        <f>IF(TITLE_DATE_PR_CHANGE="",IF(TITLE_DATE_PR="","",TITLE_DATE_PR),TITLE_DATE_PR_CHANGE)</f>
        <v>14.11.2024</v>
      </c>
      <c r="W28" s="2888"/>
      <c r="X28" s="2888"/>
      <c r="Y28" s="2888"/>
      <c r="Z28" s="2888"/>
      <c r="AA28" s="2888"/>
      <c r="AB28" s="264"/>
      <c r="AC28" s="2888" t="str">
        <f>IF(TITLE_DATE_PR_CHANGE="",IF(TITLE_DATE_PR="","",TITLE_DATE_PR),TITLE_DATE_PR_CHANGE)</f>
        <v>14.11.2024</v>
      </c>
      <c r="AD28" s="2888"/>
      <c r="AE28" s="2888"/>
      <c r="AF28" s="2888"/>
      <c r="AG28" s="2888"/>
      <c r="AH28" s="288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887" t="s">
        <v>466</v>
      </c>
      <c r="T29" s="2887"/>
      <c r="U29" s="1299"/>
      <c r="V29" s="2889" t="str">
        <f>IF(TITLE_NUMBER_PR_CHANGE="",IF(TITLE_NUMBER_PR="","",TITLE_NUMBER_PR),TITLE_NUMBER_PR_CHANGE)</f>
        <v>947 от 12.11.2024</v>
      </c>
      <c r="W29" s="2889"/>
      <c r="X29" s="2889"/>
      <c r="Y29" s="2889"/>
      <c r="Z29" s="2889"/>
      <c r="AA29" s="2889"/>
      <c r="AB29" s="264"/>
      <c r="AC29" s="2889" t="str">
        <f>IF(TITLE_NUMBER_PR_CHANGE="",IF(TITLE_NUMBER_PR="","",TITLE_NUMBER_PR),TITLE_NUMBER_PR_CHANGE)</f>
        <v>947 от 12.11.2024</v>
      </c>
      <c r="AD29" s="2889"/>
      <c r="AE29" s="2889"/>
      <c r="AF29" s="2889"/>
      <c r="AG29" s="2889"/>
      <c r="AH29" s="288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887" t="s">
        <v>47</v>
      </c>
      <c r="T30" s="2887"/>
      <c r="U30" s="1299"/>
      <c r="V30" s="2889" t="str">
        <f>IF(TITLE_IST_PUB_CHANGE="",IF(TITLE_IST_PUB="","",TITLE_IST_PUB),TITLE_IST_PUB_CHANGE)</f>
        <v/>
      </c>
      <c r="W30" s="2889"/>
      <c r="X30" s="2889"/>
      <c r="Y30" s="2889"/>
      <c r="Z30" s="2889"/>
      <c r="AA30" s="2889"/>
      <c r="AB30" s="264"/>
      <c r="AC30" s="2889" t="str">
        <f>IF(TITLE_IST_PUB_CHANGE="",IF(TITLE_IST_PUB="","",TITLE_IST_PUB),TITLE_IST_PUB_CHANGE)</f>
        <v/>
      </c>
      <c r="AD30" s="2889"/>
      <c r="AE30" s="2889"/>
      <c r="AF30" s="2889"/>
      <c r="AG30" s="2889"/>
      <c r="AH30" s="2889"/>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887" t="s">
        <v>467</v>
      </c>
      <c r="T32" s="2887"/>
      <c r="U32" s="1299"/>
      <c r="V32" s="2888" t="str">
        <f>IF(TITLE_DATE_PR_CHANGE="",IF(TITLE_DATE_PR="","",TITLE_DATE_PR),TITLE_DATE_PR_CHANGE)</f>
        <v>14.11.2024</v>
      </c>
      <c r="W32" s="2888"/>
      <c r="X32" s="2888"/>
      <c r="Y32" s="2888"/>
      <c r="Z32" s="2888"/>
      <c r="AA32" s="2888"/>
      <c r="AB32" s="264"/>
      <c r="AC32" s="2888" t="str">
        <f>IF(TITLE_DATE_PR_CHANGE="",IF(TITLE_DATE_PR="","",TITLE_DATE_PR),TITLE_DATE_PR_CHANGE)</f>
        <v>14.11.2024</v>
      </c>
      <c r="AD32" s="2888"/>
      <c r="AE32" s="2888"/>
      <c r="AF32" s="2888"/>
      <c r="AG32" s="2888"/>
      <c r="AH32" s="2888"/>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887" t="s">
        <v>468</v>
      </c>
      <c r="T33" s="2887"/>
      <c r="U33" s="1299"/>
      <c r="V33" s="2889" t="str">
        <f>IF(TITLE_NUMBER_PR_CHANGE="",IF(TITLE_NUMBER_PR="","",TITLE_NUMBER_PR),TITLE_NUMBER_PR_CHANGE)</f>
        <v>947 от 12.11.2024</v>
      </c>
      <c r="W33" s="2889"/>
      <c r="X33" s="2889"/>
      <c r="Y33" s="2889"/>
      <c r="Z33" s="2889"/>
      <c r="AA33" s="2889"/>
      <c r="AB33" s="264"/>
      <c r="AC33" s="2889" t="str">
        <f>IF(TITLE_NUMBER_PR_CHANGE="",IF(TITLE_NUMBER_PR="","",TITLE_NUMBER_PR),TITLE_NUMBER_PR_CHANGE)</f>
        <v>947 от 12.11.2024</v>
      </c>
      <c r="AD33" s="2889"/>
      <c r="AE33" s="2889"/>
      <c r="AF33" s="2889"/>
      <c r="AG33" s="2889"/>
      <c r="AH33" s="2889"/>
      <c r="AI33" s="264"/>
      <c r="AJ33" s="264"/>
      <c r="AK33" s="218"/>
      <c r="AL33" s="305"/>
      <c r="AM33" s="305"/>
      <c r="AN33" s="305"/>
      <c r="AO33" s="305"/>
      <c r="AP33" s="305"/>
      <c r="AQ33" s="355">
        <v>0</v>
      </c>
    </row>
    <row r="34" spans="1:43" s="1778" customFormat="1" ht="0.75"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469</v>
      </c>
      <c r="AC34" s="264"/>
      <c r="AD34" s="264"/>
      <c r="AE34" s="264"/>
      <c r="AF34" s="264"/>
      <c r="AG34" s="264"/>
      <c r="AH34" s="264"/>
      <c r="AI34" s="216" t="s">
        <v>469</v>
      </c>
      <c r="AL34" s="305"/>
      <c r="AM34" s="305"/>
      <c r="AN34" s="305"/>
      <c r="AO34" s="305"/>
      <c r="AP34" s="305"/>
      <c r="AQ34" s="355">
        <v>1</v>
      </c>
    </row>
    <row r="35" spans="1:43" ht="15" customHeight="1">
      <c r="Q35" s="313"/>
      <c r="R35" s="313"/>
      <c r="S35" s="1202"/>
      <c r="T35" s="300"/>
      <c r="U35" s="1171"/>
      <c r="V35" s="2908"/>
      <c r="W35" s="2908"/>
      <c r="X35" s="2908"/>
      <c r="Y35" s="2908"/>
      <c r="Z35" s="2908"/>
      <c r="AA35" s="2908"/>
      <c r="AB35" s="2908"/>
      <c r="AC35" s="2908"/>
      <c r="AD35" s="2908"/>
      <c r="AE35" s="2908"/>
      <c r="AF35" s="2908"/>
      <c r="AG35" s="2908"/>
      <c r="AH35" s="2908"/>
      <c r="AI35" s="2908"/>
      <c r="AQ35" s="1082">
        <v>14</v>
      </c>
    </row>
    <row r="36" spans="1:43" ht="15" customHeight="1">
      <c r="Q36" s="313"/>
      <c r="R36" s="313"/>
      <c r="S36" s="2758" t="s">
        <v>345</v>
      </c>
      <c r="T36" s="2758"/>
      <c r="U36" s="2758"/>
      <c r="V36" s="2758"/>
      <c r="W36" s="2758"/>
      <c r="X36" s="2758"/>
      <c r="Y36" s="2758"/>
      <c r="Z36" s="2758"/>
      <c r="AA36" s="2758"/>
      <c r="AB36" s="2758"/>
      <c r="AC36" s="2758"/>
      <c r="AD36" s="2758"/>
      <c r="AE36" s="2758"/>
      <c r="AF36" s="2758"/>
      <c r="AG36" s="2758"/>
      <c r="AH36" s="2758"/>
      <c r="AI36" s="2758"/>
      <c r="AJ36" s="2758"/>
      <c r="AK36" s="2758" t="s">
        <v>346</v>
      </c>
      <c r="AQ36" s="1082">
        <v>14</v>
      </c>
    </row>
    <row r="37" spans="1:43" ht="15" customHeight="1">
      <c r="Q37" s="313"/>
      <c r="R37" s="313"/>
      <c r="S37" s="2909" t="s">
        <v>93</v>
      </c>
      <c r="T37" s="2857" t="s">
        <v>470</v>
      </c>
      <c r="U37" s="239"/>
      <c r="V37" s="2910" t="s">
        <v>471</v>
      </c>
      <c r="W37" s="2911"/>
      <c r="X37" s="2911"/>
      <c r="Y37" s="2911"/>
      <c r="Z37" s="2911"/>
      <c r="AA37" s="2912"/>
      <c r="AB37" s="2913" t="s">
        <v>472</v>
      </c>
      <c r="AC37" s="2910" t="s">
        <v>471</v>
      </c>
      <c r="AD37" s="2911"/>
      <c r="AE37" s="2911"/>
      <c r="AF37" s="2911"/>
      <c r="AG37" s="2911"/>
      <c r="AH37" s="2912"/>
      <c r="AI37" s="2913" t="s">
        <v>473</v>
      </c>
      <c r="AJ37" s="2916" t="s">
        <v>474</v>
      </c>
      <c r="AK37" s="2758"/>
      <c r="AQ37" s="1082">
        <v>14</v>
      </c>
    </row>
    <row r="38" spans="1:43" ht="36" customHeight="1">
      <c r="Q38" s="313"/>
      <c r="R38" s="313"/>
      <c r="S38" s="2909"/>
      <c r="T38" s="2857"/>
      <c r="U38" s="961"/>
      <c r="V38" s="1410" t="s">
        <v>535</v>
      </c>
      <c r="W38" s="2740" t="s">
        <v>477</v>
      </c>
      <c r="X38" s="2739"/>
      <c r="Y38" s="2740" t="s">
        <v>478</v>
      </c>
      <c r="Z38" s="2745"/>
      <c r="AA38" s="2739"/>
      <c r="AB38" s="2914"/>
      <c r="AC38" s="1410" t="s">
        <v>535</v>
      </c>
      <c r="AD38" s="2740" t="s">
        <v>477</v>
      </c>
      <c r="AE38" s="2739"/>
      <c r="AF38" s="2740" t="s">
        <v>478</v>
      </c>
      <c r="AG38" s="2745"/>
      <c r="AH38" s="2739"/>
      <c r="AI38" s="2914"/>
      <c r="AJ38" s="2917"/>
      <c r="AK38" s="2758"/>
      <c r="AQ38" s="1082">
        <v>34</v>
      </c>
    </row>
    <row r="39" spans="1:43" ht="90" customHeight="1">
      <c r="A39" s="1297"/>
      <c r="B39" s="1297" t="s">
        <v>140</v>
      </c>
      <c r="C39" s="1297" t="s">
        <v>141</v>
      </c>
      <c r="D39" s="1297" t="s">
        <v>142</v>
      </c>
      <c r="E39" s="1291" t="s">
        <v>479</v>
      </c>
      <c r="F39" s="1291" t="s">
        <v>480</v>
      </c>
      <c r="G39" s="1291" t="s">
        <v>481</v>
      </c>
      <c r="H39" s="1291"/>
      <c r="I39" s="1291" t="s">
        <v>536</v>
      </c>
      <c r="J39" s="1291" t="s">
        <v>484</v>
      </c>
      <c r="K39" s="1291" t="s">
        <v>537</v>
      </c>
      <c r="L39" s="1291" t="s">
        <v>460</v>
      </c>
      <c r="Q39" s="313"/>
      <c r="R39" s="313"/>
      <c r="S39" s="2909"/>
      <c r="T39" s="2857"/>
      <c r="U39" s="240"/>
      <c r="V39" s="1410" t="s">
        <v>564</v>
      </c>
      <c r="W39" s="1149" t="s">
        <v>565</v>
      </c>
      <c r="X39" s="1149" t="s">
        <v>540</v>
      </c>
      <c r="Y39" s="1416" t="s">
        <v>488</v>
      </c>
      <c r="Z39" s="2862" t="s">
        <v>489</v>
      </c>
      <c r="AA39" s="2876"/>
      <c r="AB39" s="2915"/>
      <c r="AC39" s="1410" t="s">
        <v>564</v>
      </c>
      <c r="AD39" s="1149" t="s">
        <v>565</v>
      </c>
      <c r="AE39" s="1149" t="s">
        <v>540</v>
      </c>
      <c r="AF39" s="1416" t="s">
        <v>488</v>
      </c>
      <c r="AG39" s="2862" t="s">
        <v>489</v>
      </c>
      <c r="AH39" s="2876"/>
      <c r="AI39" s="2915"/>
      <c r="AJ39" s="2918"/>
      <c r="AK39" s="2758"/>
      <c r="AQ39" s="1082">
        <v>86</v>
      </c>
    </row>
    <row r="40" spans="1:43" s="1568" customFormat="1" ht="11.25"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114</v>
      </c>
      <c r="T40" s="1182" t="s">
        <v>115</v>
      </c>
      <c r="U40" s="1172" t="str">
        <f ca="1">OFFSET(U40,0,-1)</f>
        <v>2</v>
      </c>
      <c r="V40" s="1409">
        <f ca="1">OFFSET(V40,0,-1)+1</f>
        <v>3</v>
      </c>
      <c r="W40" s="1409">
        <f ca="1">OFFSET(W40,0,-1)+1</f>
        <v>4</v>
      </c>
      <c r="X40" s="1409">
        <f ca="1">OFFSET(X40,0,-1)+1</f>
        <v>5</v>
      </c>
      <c r="Y40" s="1409">
        <f ca="1">OFFSET(Y40,0,-1)+1</f>
        <v>6</v>
      </c>
      <c r="Z40" s="2907">
        <f ca="1">OFFSET(Z40,0,-1)+1</f>
        <v>7</v>
      </c>
      <c r="AA40" s="2907"/>
      <c r="AB40" s="1409">
        <f ca="1">OFFSET(AB40,0,-2)+1</f>
        <v>8</v>
      </c>
      <c r="AC40" s="1409">
        <f ca="1">OFFSET(AC40,0,-1)+1</f>
        <v>9</v>
      </c>
      <c r="AD40" s="1409">
        <f ca="1">OFFSET(AD40,0,-1)+1</f>
        <v>10</v>
      </c>
      <c r="AE40" s="1409">
        <f ca="1">OFFSET(AE40,0,-1)+1</f>
        <v>11</v>
      </c>
      <c r="AF40" s="1409">
        <f ca="1">OFFSET(AF40,0,-1)+1</f>
        <v>12</v>
      </c>
      <c r="AG40" s="2907">
        <f ca="1">OFFSET(AG40,0,-1)+1</f>
        <v>13</v>
      </c>
      <c r="AH40" s="2907"/>
      <c r="AI40" s="1409">
        <f ca="1">OFFSET(AI40,0,-2)+1</f>
        <v>14</v>
      </c>
      <c r="AJ40" s="1172">
        <f ca="1">OFFSET(AJ40,0,-1)</f>
        <v>14</v>
      </c>
      <c r="AK40" s="1409">
        <f ca="1">OFFSET(AK40,0,-1)+1</f>
        <v>15</v>
      </c>
      <c r="AL40" s="448"/>
      <c r="AM40" s="448"/>
      <c r="AN40" s="448"/>
      <c r="AO40" s="448"/>
      <c r="AP40" s="448"/>
      <c r="AQ40" s="433">
        <v>0</v>
      </c>
    </row>
    <row r="41" spans="1:43" ht="24" customHeight="1">
      <c r="A41" s="1290" t="s">
        <v>311</v>
      </c>
      <c r="B41" s="1290"/>
      <c r="C41" s="1290"/>
      <c r="D41" s="1290"/>
      <c r="E41" s="289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128</v>
      </c>
      <c r="U41" s="238"/>
      <c r="V41" s="2890"/>
      <c r="W41" s="2891"/>
      <c r="X41" s="2891"/>
      <c r="Y41" s="2891"/>
      <c r="Z41" s="2891"/>
      <c r="AA41" s="2891"/>
      <c r="AB41" s="2892"/>
      <c r="AC41" s="2890" t="str">
        <f>INDEX(PT_DIFFERENTIATION_NTAR,MATCH(A41,PT_DIFFERENTIATION_NTAR_ID,0))</f>
        <v/>
      </c>
      <c r="AD41" s="2891"/>
      <c r="AE41" s="2891"/>
      <c r="AF41" s="2891"/>
      <c r="AG41" s="2891"/>
      <c r="AH41" s="2891"/>
      <c r="AI41" s="2891"/>
      <c r="AJ41" s="289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311</v>
      </c>
      <c r="B42" s="1290" t="s">
        <v>312</v>
      </c>
      <c r="C42" s="1290"/>
      <c r="D42" s="1290"/>
      <c r="E42" s="2897"/>
      <c r="F42" s="2896">
        <v>1</v>
      </c>
      <c r="G42" s="1290"/>
      <c r="H42" s="1290"/>
      <c r="I42" s="1290"/>
      <c r="J42" s="1290"/>
      <c r="K42" s="1290"/>
      <c r="L42" s="1291"/>
      <c r="M42" s="1292"/>
      <c r="N42" s="1292"/>
      <c r="O42" s="1292"/>
      <c r="P42" s="1414"/>
      <c r="Q42" s="289"/>
      <c r="R42" s="290"/>
      <c r="S42" s="1420" t="str">
        <f>INDEX(PT_DIFFERENTIATION_NUM_TER,MATCH(B42,PT_DIFFERENTIATION_TER_ID,0))</f>
        <v>.</v>
      </c>
      <c r="T42" s="246" t="s">
        <v>442</v>
      </c>
      <c r="U42" s="238"/>
      <c r="V42" s="2890"/>
      <c r="W42" s="2891"/>
      <c r="X42" s="2891"/>
      <c r="Y42" s="2891"/>
      <c r="Z42" s="2891"/>
      <c r="AA42" s="2891"/>
      <c r="AB42" s="2892"/>
      <c r="AC42" s="2890" t="str">
        <f>INDEX(PT_DIFFERENTIATION_TER,MATCH(B42,PT_DIFFERENTIATION_TER_ID,0))</f>
        <v/>
      </c>
      <c r="AD42" s="2891"/>
      <c r="AE42" s="2891"/>
      <c r="AF42" s="2891"/>
      <c r="AG42" s="2891"/>
      <c r="AH42" s="2891"/>
      <c r="AI42" s="2891"/>
      <c r="AJ42" s="2892"/>
      <c r="AK42" s="1185" t="s">
        <v>443</v>
      </c>
      <c r="AM42" s="437"/>
      <c r="AN42" s="437" t="str">
        <f t="shared" si="1"/>
        <v>Территория действия тарифа</v>
      </c>
      <c r="AO42" s="437"/>
      <c r="AP42" s="437"/>
      <c r="AQ42" s="1082">
        <v>23</v>
      </c>
    </row>
    <row r="43" spans="1:43" ht="24" customHeight="1">
      <c r="A43" s="1290" t="s">
        <v>311</v>
      </c>
      <c r="B43" s="1290" t="s">
        <v>312</v>
      </c>
      <c r="C43" s="1290" t="s">
        <v>313</v>
      </c>
      <c r="D43" s="1290"/>
      <c r="E43" s="2897"/>
      <c r="F43" s="2897"/>
      <c r="G43" s="2896">
        <v>1</v>
      </c>
      <c r="H43" s="1290"/>
      <c r="I43" s="1290"/>
      <c r="J43" s="1290"/>
      <c r="K43" s="1290"/>
      <c r="L43" s="1291"/>
      <c r="M43" s="1292"/>
      <c r="N43" s="1292"/>
      <c r="O43" s="1292"/>
      <c r="P43" s="291"/>
      <c r="Q43" s="289"/>
      <c r="R43" s="290"/>
      <c r="S43" s="1420" t="str">
        <f>INDEX(PT_DIFFERENTIATION_NUM_CS,MATCH(C43,PT_DIFFERENTIATION_CS_ID,0))</f>
        <v>..</v>
      </c>
      <c r="T43" s="247" t="s">
        <v>562</v>
      </c>
      <c r="U43" s="238"/>
      <c r="V43" s="2890"/>
      <c r="W43" s="2891"/>
      <c r="X43" s="2891"/>
      <c r="Y43" s="2891"/>
      <c r="Z43" s="2891"/>
      <c r="AA43" s="2891"/>
      <c r="AB43" s="2892"/>
      <c r="AC43" s="2890" t="str">
        <f>INDEX(PT_DIFFERENTIATION_CS,MATCH(C43,PT_DIFFERENTIATION_CS_ID,0))</f>
        <v/>
      </c>
      <c r="AD43" s="2891"/>
      <c r="AE43" s="2891"/>
      <c r="AF43" s="2891"/>
      <c r="AG43" s="2891"/>
      <c r="AH43" s="2891"/>
      <c r="AI43" s="2891"/>
      <c r="AJ43" s="2892"/>
      <c r="AK43" s="1185" t="s">
        <v>563</v>
      </c>
      <c r="AM43" s="437"/>
      <c r="AN43" s="437" t="str">
        <f t="shared" si="1"/>
        <v>Наименование централизованной системы водоотведения</v>
      </c>
      <c r="AO43" s="437"/>
      <c r="AP43" s="437"/>
      <c r="AQ43" s="1082">
        <v>23</v>
      </c>
    </row>
    <row r="44" spans="1:43" ht="24" customHeight="1">
      <c r="A44" s="1290" t="s">
        <v>311</v>
      </c>
      <c r="B44" s="1290" t="s">
        <v>312</v>
      </c>
      <c r="C44" s="1290" t="s">
        <v>313</v>
      </c>
      <c r="D44" s="1290" t="s">
        <v>566</v>
      </c>
      <c r="E44" s="2897"/>
      <c r="F44" s="2897"/>
      <c r="G44" s="2897"/>
      <c r="H44" s="2897"/>
      <c r="I44" s="2898" t="str">
        <f>S43&amp;".1"</f>
        <v>...1</v>
      </c>
      <c r="J44" s="1290"/>
      <c r="K44" s="1290"/>
      <c r="L44" s="1291"/>
      <c r="P44" s="2900">
        <v>1</v>
      </c>
      <c r="Q44" s="1408"/>
      <c r="R44" s="293"/>
      <c r="S44" s="1420" t="str">
        <f>$I44</f>
        <v>...1</v>
      </c>
      <c r="T44" s="223" t="s">
        <v>529</v>
      </c>
      <c r="U44" s="238"/>
      <c r="V44" s="2965"/>
      <c r="W44" s="2966"/>
      <c r="X44" s="2966"/>
      <c r="Y44" s="2966"/>
      <c r="Z44" s="2966"/>
      <c r="AA44" s="2966"/>
      <c r="AB44" s="2967"/>
      <c r="AC44" s="2968"/>
      <c r="AD44" s="2969"/>
      <c r="AE44" s="2969"/>
      <c r="AF44" s="2969"/>
      <c r="AG44" s="2969"/>
      <c r="AH44" s="2969"/>
      <c r="AI44" s="2969"/>
      <c r="AJ44" s="2970"/>
      <c r="AK44" s="1185" t="s">
        <v>530</v>
      </c>
      <c r="AM44" s="437"/>
      <c r="AN44" s="437" t="str">
        <f t="shared" si="1"/>
        <v>Наименование признака дифференциации</v>
      </c>
      <c r="AO44" s="437"/>
      <c r="AP44" s="437"/>
      <c r="AQ44" s="1082">
        <v>23</v>
      </c>
    </row>
    <row r="45" spans="1:43" ht="24" customHeight="1">
      <c r="A45" s="1290" t="s">
        <v>311</v>
      </c>
      <c r="B45" s="1290" t="s">
        <v>312</v>
      </c>
      <c r="C45" s="1290" t="s">
        <v>313</v>
      </c>
      <c r="D45" s="1290" t="s">
        <v>566</v>
      </c>
      <c r="E45" s="2897"/>
      <c r="F45" s="2897"/>
      <c r="G45" s="2897"/>
      <c r="H45" s="2897"/>
      <c r="I45" s="2899"/>
      <c r="J45" s="2898" t="str">
        <f>I44&amp;".1"</f>
        <v>...1.1</v>
      </c>
      <c r="K45" s="1290"/>
      <c r="L45" s="1291" t="s">
        <v>451</v>
      </c>
      <c r="P45" s="2900"/>
      <c r="Q45" s="2900">
        <v>1</v>
      </c>
      <c r="R45" s="294"/>
      <c r="S45" s="1420" t="str">
        <f>$J45</f>
        <v>...1.1</v>
      </c>
      <c r="T45" s="224" t="s">
        <v>452</v>
      </c>
      <c r="U45" s="238"/>
      <c r="V45" s="2884"/>
      <c r="W45" s="2885"/>
      <c r="X45" s="2885"/>
      <c r="Y45" s="2885"/>
      <c r="Z45" s="2885"/>
      <c r="AA45" s="2885"/>
      <c r="AB45" s="2886"/>
      <c r="AC45" s="2884"/>
      <c r="AD45" s="2885"/>
      <c r="AE45" s="2885"/>
      <c r="AF45" s="2885"/>
      <c r="AG45" s="2885"/>
      <c r="AH45" s="2885"/>
      <c r="AI45" s="2885"/>
      <c r="AJ45" s="2886"/>
      <c r="AK45" s="1234" t="s">
        <v>531</v>
      </c>
      <c r="AM45" s="437"/>
      <c r="AN45" s="437" t="str">
        <f t="shared" si="1"/>
        <v>Группа потребителей</v>
      </c>
      <c r="AO45" s="437"/>
      <c r="AP45" s="437"/>
      <c r="AQ45" s="1082">
        <v>23</v>
      </c>
    </row>
    <row r="46" spans="1:43" ht="24" customHeight="1">
      <c r="A46" s="1290" t="s">
        <v>311</v>
      </c>
      <c r="B46" s="1290" t="s">
        <v>312</v>
      </c>
      <c r="C46" s="1290" t="s">
        <v>313</v>
      </c>
      <c r="D46" s="1290" t="s">
        <v>566</v>
      </c>
      <c r="E46" s="2897"/>
      <c r="F46" s="2897"/>
      <c r="G46" s="2897"/>
      <c r="H46" s="2897"/>
      <c r="I46" s="2899"/>
      <c r="J46" s="2899"/>
      <c r="K46" s="2898" t="str">
        <f>J45&amp;".1"</f>
        <v>...1.1.1</v>
      </c>
      <c r="L46" s="1291"/>
      <c r="P46" s="2900"/>
      <c r="Q46" s="2900"/>
      <c r="R46" s="294">
        <v>1</v>
      </c>
      <c r="S46" s="1420" t="str">
        <f>$K46</f>
        <v>...1.1.1</v>
      </c>
      <c r="T46" s="1364"/>
      <c r="U46" s="238"/>
      <c r="V46" s="1287"/>
      <c r="W46" s="1287"/>
      <c r="X46" s="1288"/>
      <c r="Y46" s="2894"/>
      <c r="Z46" s="2893" t="s">
        <v>71</v>
      </c>
      <c r="AA46" s="2894"/>
      <c r="AB46" s="2893" t="s">
        <v>71</v>
      </c>
      <c r="AC46" s="688"/>
      <c r="AD46" s="688"/>
      <c r="AE46" s="1184"/>
      <c r="AF46" s="2901"/>
      <c r="AG46" s="2768" t="s">
        <v>71</v>
      </c>
      <c r="AH46" s="2903"/>
      <c r="AI46" s="2768" t="s">
        <v>19</v>
      </c>
      <c r="AJ46" s="1365"/>
      <c r="AK46" s="29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311</v>
      </c>
      <c r="B47" s="1290" t="s">
        <v>312</v>
      </c>
      <c r="C47" s="1290" t="s">
        <v>313</v>
      </c>
      <c r="D47" s="1290" t="s">
        <v>566</v>
      </c>
      <c r="E47" s="2897"/>
      <c r="F47" s="2897"/>
      <c r="G47" s="2897"/>
      <c r="H47" s="2897"/>
      <c r="I47" s="2899"/>
      <c r="J47" s="2899"/>
      <c r="K47" s="2898"/>
      <c r="L47" s="1291"/>
      <c r="P47" s="2900"/>
      <c r="Q47" s="2900"/>
      <c r="R47" s="294"/>
      <c r="S47" s="1417"/>
      <c r="T47" s="238"/>
      <c r="U47" s="238"/>
      <c r="V47" s="1287"/>
      <c r="W47" s="1287"/>
      <c r="X47" s="266" t="str">
        <f>Y46&amp;"-"&amp;AA46</f>
        <v>-</v>
      </c>
      <c r="Y47" s="2893"/>
      <c r="Z47" s="2893"/>
      <c r="AA47" s="2893"/>
      <c r="AB47" s="2893"/>
      <c r="AC47" s="263"/>
      <c r="AD47" s="263"/>
      <c r="AE47" s="266" t="str">
        <f>AF46&amp;"-"&amp;AH46</f>
        <v>-</v>
      </c>
      <c r="AF47" s="2902"/>
      <c r="AG47" s="2768"/>
      <c r="AH47" s="2904"/>
      <c r="AI47" s="2768"/>
      <c r="AJ47" s="1366"/>
      <c r="AK47" s="2971"/>
      <c r="AM47" s="437"/>
      <c r="AN47" s="437" t="str">
        <f t="shared" si="1"/>
        <v/>
      </c>
      <c r="AO47" s="437"/>
      <c r="AP47" s="437"/>
      <c r="AQ47" s="1082">
        <v>0</v>
      </c>
    </row>
    <row r="48" spans="1:43" ht="21" customHeight="1">
      <c r="A48" s="1290" t="s">
        <v>311</v>
      </c>
      <c r="B48" s="1290" t="s">
        <v>312</v>
      </c>
      <c r="C48" s="1290" t="s">
        <v>313</v>
      </c>
      <c r="D48" s="1290" t="s">
        <v>566</v>
      </c>
      <c r="E48" s="2897"/>
      <c r="F48" s="2897"/>
      <c r="G48" s="2897"/>
      <c r="H48" s="2897"/>
      <c r="I48" s="2899"/>
      <c r="J48" s="2898"/>
      <c r="K48" s="1290"/>
      <c r="L48" s="1291"/>
      <c r="P48" s="2900"/>
      <c r="Q48" s="2900"/>
      <c r="R48" s="293"/>
      <c r="S48" s="1205"/>
      <c r="T48" s="225" t="s">
        <v>532</v>
      </c>
      <c r="U48" s="304"/>
      <c r="V48" s="304"/>
      <c r="W48" s="304"/>
      <c r="X48" s="304"/>
      <c r="Y48" s="304"/>
      <c r="Z48" s="304"/>
      <c r="AA48" s="304"/>
      <c r="AB48" s="304"/>
      <c r="AC48" s="304"/>
      <c r="AD48" s="304"/>
      <c r="AE48" s="304"/>
      <c r="AF48" s="304"/>
      <c r="AG48" s="304"/>
      <c r="AH48" s="304"/>
      <c r="AI48" s="304"/>
      <c r="AJ48" s="304"/>
      <c r="AK48" s="1185" t="s">
        <v>533</v>
      </c>
      <c r="AM48" s="437"/>
      <c r="AN48" s="437" t="str">
        <f t="shared" si="1"/>
        <v>Добавить значение признака дифференциации</v>
      </c>
      <c r="AO48" s="437"/>
      <c r="AP48" s="437"/>
      <c r="AQ48" s="1082">
        <v>20</v>
      </c>
    </row>
    <row r="49" spans="1:43" ht="21.75" customHeight="1">
      <c r="A49" s="1290" t="s">
        <v>311</v>
      </c>
      <c r="B49" s="1290" t="s">
        <v>312</v>
      </c>
      <c r="C49" s="1290" t="s">
        <v>313</v>
      </c>
      <c r="D49" s="1290" t="s">
        <v>566</v>
      </c>
      <c r="E49" s="2897"/>
      <c r="F49" s="2897"/>
      <c r="G49" s="2897"/>
      <c r="H49" s="2897"/>
      <c r="I49" s="2898"/>
      <c r="J49" s="1290"/>
      <c r="K49" s="1290"/>
      <c r="L49" s="1291"/>
      <c r="P49" s="2900"/>
      <c r="Q49" s="1408"/>
      <c r="R49" s="293"/>
      <c r="S49" s="1205"/>
      <c r="T49" s="302" t="s">
        <v>457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75" customHeight="1">
      <c r="A50" s="1290" t="s">
        <v>311</v>
      </c>
      <c r="B50" s="1290" t="s">
        <v>312</v>
      </c>
      <c r="C50" s="1290" t="s">
        <v>313</v>
      </c>
      <c r="D50" s="1290" t="s">
        <v>566</v>
      </c>
      <c r="E50" s="2897"/>
      <c r="F50" s="2897"/>
      <c r="G50" s="2897"/>
      <c r="H50" s="2896"/>
      <c r="I50" s="1290"/>
      <c r="J50" s="1290"/>
      <c r="K50" s="1290"/>
      <c r="L50" s="1291"/>
      <c r="M50" s="1292"/>
      <c r="N50" s="1292"/>
      <c r="O50" s="474"/>
      <c r="P50" s="297"/>
      <c r="Q50" s="312"/>
      <c r="R50" s="292"/>
      <c r="S50" s="1205"/>
      <c r="T50" s="309" t="s">
        <v>534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311</v>
      </c>
      <c r="B51" s="1270" t="s">
        <v>312</v>
      </c>
      <c r="C51" s="1241"/>
      <c r="D51" s="1241"/>
      <c r="E51" s="2897"/>
      <c r="F51" s="2896"/>
      <c r="G51" s="1241"/>
      <c r="H51" s="1241"/>
      <c r="I51" s="1241"/>
      <c r="J51" s="1241"/>
      <c r="K51" s="1241"/>
      <c r="L51" s="1421"/>
      <c r="M51" s="1248"/>
      <c r="N51" s="1248"/>
      <c r="P51" s="1243"/>
      <c r="Q51" s="1244"/>
      <c r="R51" s="1243"/>
      <c r="S51" s="1249"/>
      <c r="T51" s="1252" t="s">
        <v>176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311</v>
      </c>
      <c r="B52" s="1270"/>
      <c r="C52" s="1270"/>
      <c r="D52" s="1270"/>
      <c r="E52" s="2896"/>
      <c r="F52" s="1270"/>
      <c r="G52" s="1270"/>
      <c r="H52" s="1270"/>
      <c r="I52" s="1270"/>
      <c r="J52" s="1270"/>
      <c r="K52" s="1270"/>
      <c r="L52" s="1273"/>
      <c r="M52" s="1248"/>
      <c r="N52" s="1248"/>
      <c r="O52" s="455"/>
      <c r="P52" s="317"/>
      <c r="Q52" s="1271"/>
      <c r="R52" s="317"/>
      <c r="S52" s="1249"/>
      <c r="T52" s="1252" t="s">
        <v>178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25" customHeight="1">
      <c r="M54" s="1087"/>
      <c r="N54" s="1087"/>
      <c r="O54" s="474"/>
      <c r="P54" s="1082"/>
      <c r="Q54" s="1082"/>
      <c r="R54" s="1082"/>
      <c r="S54" s="1082"/>
      <c r="AL54" s="1082"/>
      <c r="AM54" s="1082"/>
      <c r="AN54" s="1082"/>
      <c r="AO54" s="1082"/>
      <c r="AP54" s="1082"/>
      <c r="AQ54" s="1082">
        <v>11</v>
      </c>
    </row>
    <row r="55" spans="1:43" ht="15" customHeight="1">
      <c r="O55" s="474"/>
      <c r="S55" s="1180"/>
      <c r="T55" s="2895"/>
      <c r="U55" s="2895"/>
      <c r="V55" s="2895"/>
      <c r="W55" s="2895"/>
      <c r="X55" s="2895"/>
      <c r="Y55" s="2895"/>
      <c r="Z55" s="2895"/>
      <c r="AA55" s="2895"/>
      <c r="AB55" s="2895"/>
      <c r="AC55" s="2895"/>
      <c r="AD55" s="2895"/>
      <c r="AE55" s="2895"/>
      <c r="AF55" s="2895"/>
      <c r="AG55" s="2895"/>
      <c r="AH55" s="2895"/>
      <c r="AI55" s="2895"/>
      <c r="AJ55" s="2895"/>
      <c r="AK55" s="2895"/>
      <c r="AQ55" s="1082">
        <v>14</v>
      </c>
    </row>
    <row r="56" spans="1:43" ht="15" customHeight="1">
      <c r="O56" s="474"/>
      <c r="AQ56" s="1082">
        <v>14</v>
      </c>
    </row>
    <row r="57" spans="1:43" ht="15" customHeight="1">
      <c r="O57" s="474"/>
      <c r="S57" s="1180"/>
      <c r="T57" s="2895"/>
      <c r="U57" s="2895"/>
      <c r="V57" s="2895"/>
      <c r="W57" s="2895"/>
      <c r="X57" s="2895"/>
      <c r="Y57" s="2895"/>
      <c r="Z57" s="2895"/>
      <c r="AA57" s="2895"/>
      <c r="AB57" s="2895"/>
      <c r="AC57" s="2895"/>
      <c r="AD57" s="2895"/>
      <c r="AE57" s="2895"/>
      <c r="AF57" s="2895"/>
      <c r="AG57" s="2895"/>
      <c r="AH57" s="2895"/>
      <c r="AI57" s="2895"/>
      <c r="AJ57" s="2895"/>
      <c r="AK57" s="2895"/>
      <c r="AQ57" s="1082">
        <v>14</v>
      </c>
    </row>
    <row r="58" spans="1:43" ht="22.5" hidden="1" customHeight="1">
      <c r="A58" s="1087" t="s">
        <v>87</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Q58"/>
  <sheetViews>
    <sheetView showGridLines="0" zoomScale="90" workbookViewId="0">
      <pane xSplit="28" ySplit="40" topLeftCell="AC41" activePane="bottomRight" state="frozen"/>
      <selection pane="topRight" activeCell="AC1" sqref="AC1"/>
      <selection pane="bottomLeft" activeCell="A41" sqref="A41"/>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4" width="24.7109375" style="1562" hidden="1" customWidth="1"/>
    <col min="25" max="25" width="11.7109375" style="1562" hidden="1" customWidth="1"/>
    <col min="26" max="26" width="3.7109375" style="1562" hidden="1" customWidth="1"/>
    <col min="27" max="27" width="11.7109375" style="1562" hidden="1" customWidth="1"/>
    <col min="28" max="28" width="8.5703125" style="1562" hidden="1" customWidth="1"/>
    <col min="29" max="29" width="24.7109375" style="1562" customWidth="1"/>
    <col min="30" max="31" width="24" style="1562" customWidth="1"/>
    <col min="32" max="32" width="11" style="1562" customWidth="1"/>
    <col min="33" max="33" width="3.7109375" style="1562" customWidth="1"/>
    <col min="34" max="34" width="11" style="1562" customWidth="1"/>
    <col min="35" max="35" width="8.5703125" style="1562" hidden="1" customWidth="1"/>
    <col min="36" max="36" width="4" style="1562" customWidth="1"/>
    <col min="37" max="37" width="115" style="1562" customWidth="1"/>
    <col min="38" max="42" width="10" style="1569" customWidth="1"/>
    <col min="43" max="43" width="10.5703125" style="1562" hidden="1"/>
  </cols>
  <sheetData>
    <row r="1" spans="1:43" ht="22.5" hidden="1" customHeight="1">
      <c r="X1" s="265"/>
      <c r="Y1" s="265"/>
      <c r="AE1" s="265"/>
      <c r="AF1" s="265"/>
      <c r="AQ1" s="1082" t="s">
        <v>14</v>
      </c>
    </row>
    <row r="2" spans="1:43" ht="23.25" hidden="1" customHeight="1">
      <c r="A2" s="1290"/>
      <c r="B2" s="1290"/>
      <c r="C2" s="1290"/>
      <c r="D2" s="1290"/>
      <c r="E2" s="2896">
        <v>1</v>
      </c>
      <c r="F2" s="1290"/>
      <c r="G2" s="1290"/>
      <c r="H2" s="1290"/>
      <c r="I2" s="1290"/>
      <c r="J2" s="1290"/>
      <c r="K2" s="1290"/>
      <c r="L2" s="1291"/>
      <c r="M2" s="1292"/>
      <c r="N2" s="1292"/>
      <c r="O2" s="1292"/>
      <c r="P2" s="298"/>
      <c r="Q2" s="297"/>
      <c r="R2" s="292"/>
      <c r="S2" s="1420" t="e">
        <f>INDEX(PT_DIFFERENTIATION_NUM_NTAR,MATCH(A2,PT_DIFFERENTIATION_NTAR_ID,0))</f>
        <v>#N/A</v>
      </c>
      <c r="T2" s="236" t="s">
        <v>128</v>
      </c>
      <c r="U2" s="238"/>
      <c r="V2" s="2890"/>
      <c r="W2" s="2891"/>
      <c r="X2" s="2891"/>
      <c r="Y2" s="2891"/>
      <c r="Z2" s="2891"/>
      <c r="AA2" s="2891"/>
      <c r="AB2" s="2892"/>
      <c r="AC2" s="2890" t="e">
        <f>INDEX(PT_DIFFERENTIATION_NTAR,MATCH(A2,PT_DIFFERENTIATION_NTAR_ID,0))</f>
        <v>#N/A</v>
      </c>
      <c r="AD2" s="2891"/>
      <c r="AE2" s="2891"/>
      <c r="AF2" s="2891"/>
      <c r="AG2" s="2891"/>
      <c r="AH2" s="2891"/>
      <c r="AI2" s="2891"/>
      <c r="AJ2" s="2892"/>
      <c r="AK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2" s="437"/>
      <c r="AN2" s="437" t="str">
        <f t="shared" ref="AN2:AN13" si="0">IF(T2="","",T2)</f>
        <v>Наименование тарифа</v>
      </c>
      <c r="AO2" s="437"/>
      <c r="AP2" s="437"/>
      <c r="AQ2" s="1082">
        <v>0</v>
      </c>
    </row>
    <row r="3" spans="1:43" ht="23.25" hidden="1" customHeight="1">
      <c r="A3" s="1290"/>
      <c r="B3" s="1290"/>
      <c r="C3" s="1290"/>
      <c r="D3" s="1290"/>
      <c r="E3" s="2897"/>
      <c r="F3" s="2896">
        <v>1</v>
      </c>
      <c r="G3" s="1290"/>
      <c r="H3" s="1290"/>
      <c r="I3" s="1290"/>
      <c r="J3" s="1290"/>
      <c r="K3" s="1290"/>
      <c r="L3" s="1291"/>
      <c r="M3" s="1292"/>
      <c r="N3" s="1292"/>
      <c r="O3" s="1292"/>
      <c r="P3" s="1414"/>
      <c r="Q3" s="289"/>
      <c r="R3" s="290"/>
      <c r="S3" s="1420" t="e">
        <f>INDEX(PT_DIFFERENTIATION_NUM_TER,MATCH(B3,PT_DIFFERENTIATION_TER_ID,0))</f>
        <v>#N/A</v>
      </c>
      <c r="T3" s="246" t="s">
        <v>442</v>
      </c>
      <c r="U3" s="238"/>
      <c r="V3" s="2890"/>
      <c r="W3" s="2891"/>
      <c r="X3" s="2891"/>
      <c r="Y3" s="2891"/>
      <c r="Z3" s="2891"/>
      <c r="AA3" s="2891"/>
      <c r="AB3" s="2892"/>
      <c r="AC3" s="2890" t="e">
        <f>INDEX(PT_DIFFERENTIATION_TER,MATCH(B3,PT_DIFFERENTIATION_TER_ID,0))</f>
        <v>#N/A</v>
      </c>
      <c r="AD3" s="2891"/>
      <c r="AE3" s="2891"/>
      <c r="AF3" s="2891"/>
      <c r="AG3" s="2891"/>
      <c r="AH3" s="2891"/>
      <c r="AI3" s="2891"/>
      <c r="AJ3" s="2892"/>
      <c r="AK3" s="1185" t="s">
        <v>443</v>
      </c>
      <c r="AM3" s="437"/>
      <c r="AN3" s="437" t="str">
        <f t="shared" si="0"/>
        <v>Территория действия тарифа</v>
      </c>
      <c r="AO3" s="437"/>
      <c r="AP3" s="437"/>
      <c r="AQ3" s="1082">
        <v>0</v>
      </c>
    </row>
    <row r="4" spans="1:43" ht="23.25" hidden="1" customHeight="1">
      <c r="A4" s="1290"/>
      <c r="B4" s="1290"/>
      <c r="C4" s="1290"/>
      <c r="D4" s="1290"/>
      <c r="E4" s="2897"/>
      <c r="F4" s="2897"/>
      <c r="G4" s="2896">
        <v>1</v>
      </c>
      <c r="H4" s="1290"/>
      <c r="I4" s="1290"/>
      <c r="J4" s="1290"/>
      <c r="K4" s="1290"/>
      <c r="L4" s="1291"/>
      <c r="M4" s="1292"/>
      <c r="N4" s="1292"/>
      <c r="O4" s="1292"/>
      <c r="P4" s="291"/>
      <c r="Q4" s="289"/>
      <c r="R4" s="290"/>
      <c r="S4" s="1420" t="e">
        <f>INDEX(PT_DIFFERENTIATION_NUM_CS,MATCH(C4,PT_DIFFERENTIATION_CS_ID,0))</f>
        <v>#N/A</v>
      </c>
      <c r="T4" s="247" t="s">
        <v>562</v>
      </c>
      <c r="U4" s="238"/>
      <c r="V4" s="2890"/>
      <c r="W4" s="2891"/>
      <c r="X4" s="2891"/>
      <c r="Y4" s="2891"/>
      <c r="Z4" s="2891"/>
      <c r="AA4" s="2891"/>
      <c r="AB4" s="2892"/>
      <c r="AC4" s="2890" t="e">
        <f>INDEX(PT_DIFFERENTIATION_CS,MATCH(C4,PT_DIFFERENTIATION_CS_ID,0))</f>
        <v>#N/A</v>
      </c>
      <c r="AD4" s="2891"/>
      <c r="AE4" s="2891"/>
      <c r="AF4" s="2891"/>
      <c r="AG4" s="2891"/>
      <c r="AH4" s="2891"/>
      <c r="AI4" s="2891"/>
      <c r="AJ4" s="2892"/>
      <c r="AK4" s="1185" t="s">
        <v>563</v>
      </c>
      <c r="AM4" s="437"/>
      <c r="AN4" s="437" t="str">
        <f t="shared" si="0"/>
        <v>Наименование централизованной системы водоотведения</v>
      </c>
      <c r="AO4" s="437"/>
      <c r="AP4" s="437"/>
      <c r="AQ4" s="1082">
        <v>0</v>
      </c>
    </row>
    <row r="5" spans="1:43" ht="23.25" hidden="1" customHeight="1">
      <c r="A5" s="1290"/>
      <c r="B5" s="1290"/>
      <c r="C5" s="1290"/>
      <c r="D5" s="1290"/>
      <c r="E5" s="2897"/>
      <c r="F5" s="2897"/>
      <c r="G5" s="2897"/>
      <c r="H5" s="2897"/>
      <c r="I5" s="2898" t="e">
        <f>S4&amp;".1"</f>
        <v>#N/A</v>
      </c>
      <c r="J5" s="1290"/>
      <c r="K5" s="1290"/>
      <c r="L5" s="1291"/>
      <c r="P5" s="2900">
        <v>1</v>
      </c>
      <c r="Q5" s="1408"/>
      <c r="R5" s="293"/>
      <c r="S5" s="1420" t="e">
        <f>$I5</f>
        <v>#N/A</v>
      </c>
      <c r="T5" s="223" t="s">
        <v>529</v>
      </c>
      <c r="U5" s="238"/>
      <c r="V5" s="2965"/>
      <c r="W5" s="2966"/>
      <c r="X5" s="2966"/>
      <c r="Y5" s="2966"/>
      <c r="Z5" s="2966"/>
      <c r="AA5" s="2966"/>
      <c r="AB5" s="2967"/>
      <c r="AC5" s="2968"/>
      <c r="AD5" s="2969"/>
      <c r="AE5" s="2969"/>
      <c r="AF5" s="2969"/>
      <c r="AG5" s="2969"/>
      <c r="AH5" s="2969"/>
      <c r="AI5" s="2969"/>
      <c r="AJ5" s="2970"/>
      <c r="AK5" s="1185" t="s">
        <v>530</v>
      </c>
      <c r="AM5" s="437"/>
      <c r="AN5" s="437" t="str">
        <f t="shared" si="0"/>
        <v>Наименование признака дифференциации</v>
      </c>
      <c r="AO5" s="437"/>
      <c r="AP5" s="437"/>
      <c r="AQ5" s="1082">
        <v>0</v>
      </c>
    </row>
    <row r="6" spans="1:43" ht="23.25" hidden="1" customHeight="1">
      <c r="A6" s="1290"/>
      <c r="B6" s="1290"/>
      <c r="C6" s="1290"/>
      <c r="D6" s="1290"/>
      <c r="E6" s="2897"/>
      <c r="F6" s="2897"/>
      <c r="G6" s="2897"/>
      <c r="H6" s="2897"/>
      <c r="I6" s="2899"/>
      <c r="J6" s="2898" t="e">
        <f>I5&amp;".1"</f>
        <v>#N/A</v>
      </c>
      <c r="K6" s="1290"/>
      <c r="L6" s="1291" t="s">
        <v>451</v>
      </c>
      <c r="P6" s="2900"/>
      <c r="Q6" s="2900">
        <v>1</v>
      </c>
      <c r="R6" s="294"/>
      <c r="S6" s="1420" t="e">
        <f>$J6</f>
        <v>#N/A</v>
      </c>
      <c r="T6" s="224" t="s">
        <v>452</v>
      </c>
      <c r="U6" s="238"/>
      <c r="V6" s="2884"/>
      <c r="W6" s="2885"/>
      <c r="X6" s="2885"/>
      <c r="Y6" s="2885"/>
      <c r="Z6" s="2885"/>
      <c r="AA6" s="2885"/>
      <c r="AB6" s="2886"/>
      <c r="AC6" s="2884"/>
      <c r="AD6" s="2885"/>
      <c r="AE6" s="2885"/>
      <c r="AF6" s="2885"/>
      <c r="AG6" s="2885"/>
      <c r="AH6" s="2885"/>
      <c r="AI6" s="2885"/>
      <c r="AJ6" s="2886"/>
      <c r="AK6" s="1234" t="s">
        <v>531</v>
      </c>
      <c r="AM6" s="437"/>
      <c r="AN6" s="437" t="str">
        <f t="shared" si="0"/>
        <v>Группа потребителей</v>
      </c>
      <c r="AO6" s="437"/>
      <c r="AP6" s="437"/>
      <c r="AQ6" s="1082">
        <v>0</v>
      </c>
    </row>
    <row r="7" spans="1:43" ht="23.25" hidden="1" customHeight="1">
      <c r="A7" s="1290"/>
      <c r="B7" s="1290"/>
      <c r="C7" s="1290"/>
      <c r="D7" s="1290"/>
      <c r="E7" s="2897"/>
      <c r="F7" s="2897"/>
      <c r="G7" s="2897"/>
      <c r="H7" s="2897"/>
      <c r="I7" s="2899"/>
      <c r="J7" s="2899"/>
      <c r="K7" s="2898" t="e">
        <f>J6&amp;".1"</f>
        <v>#N/A</v>
      </c>
      <c r="L7" s="1291"/>
      <c r="P7" s="2900"/>
      <c r="Q7" s="2900"/>
      <c r="R7" s="294">
        <v>1</v>
      </c>
      <c r="S7" s="1420" t="e">
        <f>$K7</f>
        <v>#N/A</v>
      </c>
      <c r="T7" s="1364"/>
      <c r="U7" s="238"/>
      <c r="V7" s="688"/>
      <c r="W7" s="688"/>
      <c r="X7" s="1184"/>
      <c r="Y7" s="2901"/>
      <c r="Z7" s="2768" t="s">
        <v>71</v>
      </c>
      <c r="AA7" s="2901"/>
      <c r="AB7" s="2768" t="s">
        <v>71</v>
      </c>
      <c r="AC7" s="688"/>
      <c r="AD7" s="688"/>
      <c r="AE7" s="1184"/>
      <c r="AF7" s="2901"/>
      <c r="AG7" s="2768" t="s">
        <v>71</v>
      </c>
      <c r="AH7" s="2903"/>
      <c r="AI7" s="2768" t="s">
        <v>71</v>
      </c>
      <c r="AJ7" s="1365"/>
      <c r="AK7" s="29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7" s="448" t="e">
        <f ca="1">STRCHECKDATE(V8:AJ8)</f>
        <v>#NAME?</v>
      </c>
      <c r="AM7" s="437"/>
      <c r="AN7" s="437" t="str">
        <f t="shared" si="0"/>
        <v/>
      </c>
      <c r="AO7" s="437"/>
      <c r="AP7" s="437"/>
      <c r="AQ7" s="1082">
        <v>0</v>
      </c>
    </row>
    <row r="8" spans="1:43" ht="14.25" hidden="1" customHeight="1">
      <c r="A8" s="1290"/>
      <c r="B8" s="1290"/>
      <c r="C8" s="1290"/>
      <c r="D8" s="1290"/>
      <c r="E8" s="2897"/>
      <c r="F8" s="2897"/>
      <c r="G8" s="2897"/>
      <c r="H8" s="2897"/>
      <c r="I8" s="2899"/>
      <c r="J8" s="2899"/>
      <c r="K8" s="2898"/>
      <c r="L8" s="1291"/>
      <c r="P8" s="2900"/>
      <c r="Q8" s="2900"/>
      <c r="R8" s="294"/>
      <c r="S8" s="1417"/>
      <c r="T8" s="238"/>
      <c r="U8" s="238"/>
      <c r="V8" s="263"/>
      <c r="W8" s="263"/>
      <c r="X8" s="266" t="str">
        <f>Y7&amp;"-"&amp;AA7</f>
        <v>-</v>
      </c>
      <c r="Y8" s="2902"/>
      <c r="Z8" s="2768"/>
      <c r="AA8" s="2902"/>
      <c r="AB8" s="2768"/>
      <c r="AC8" s="263"/>
      <c r="AD8" s="263"/>
      <c r="AE8" s="266" t="str">
        <f>AF7&amp;"-"&amp;AH7</f>
        <v>-</v>
      </c>
      <c r="AF8" s="2902"/>
      <c r="AG8" s="2768"/>
      <c r="AH8" s="2904"/>
      <c r="AI8" s="2768"/>
      <c r="AJ8" s="1366"/>
      <c r="AK8" s="2971"/>
      <c r="AM8" s="437"/>
      <c r="AN8" s="437" t="str">
        <f t="shared" si="0"/>
        <v/>
      </c>
      <c r="AO8" s="437"/>
      <c r="AP8" s="437"/>
      <c r="AQ8" s="1082">
        <v>0</v>
      </c>
    </row>
    <row r="9" spans="1:43" ht="21" hidden="1" customHeight="1">
      <c r="A9" s="1290"/>
      <c r="B9" s="1290"/>
      <c r="C9" s="1290"/>
      <c r="D9" s="1290"/>
      <c r="E9" s="2897"/>
      <c r="F9" s="2897"/>
      <c r="G9" s="2897"/>
      <c r="H9" s="2897"/>
      <c r="I9" s="2899"/>
      <c r="J9" s="2898"/>
      <c r="K9" s="1290"/>
      <c r="L9" s="1291"/>
      <c r="P9" s="2900"/>
      <c r="Q9" s="2900"/>
      <c r="R9" s="293"/>
      <c r="S9" s="1205"/>
      <c r="T9" s="225" t="s">
        <v>532</v>
      </c>
      <c r="U9" s="304"/>
      <c r="V9" s="304"/>
      <c r="W9" s="304"/>
      <c r="X9" s="304"/>
      <c r="Y9" s="304"/>
      <c r="Z9" s="304"/>
      <c r="AA9" s="304"/>
      <c r="AB9" s="304"/>
      <c r="AC9" s="304"/>
      <c r="AD9" s="304"/>
      <c r="AE9" s="304"/>
      <c r="AF9" s="304"/>
      <c r="AG9" s="304"/>
      <c r="AH9" s="304"/>
      <c r="AI9" s="304"/>
      <c r="AJ9" s="304"/>
      <c r="AK9" s="1185" t="s">
        <v>533</v>
      </c>
      <c r="AM9" s="437"/>
      <c r="AN9" s="437" t="str">
        <f t="shared" si="0"/>
        <v>Добавить значение признака дифференциации</v>
      </c>
      <c r="AO9" s="437"/>
      <c r="AP9" s="437"/>
      <c r="AQ9" s="1082">
        <v>0</v>
      </c>
    </row>
    <row r="10" spans="1:43" ht="21" hidden="1" customHeight="1">
      <c r="A10" s="1290"/>
      <c r="B10" s="1290"/>
      <c r="C10" s="1290"/>
      <c r="D10" s="1290"/>
      <c r="E10" s="2897"/>
      <c r="F10" s="2897"/>
      <c r="G10" s="2897"/>
      <c r="H10" s="2897"/>
      <c r="I10" s="2898"/>
      <c r="J10" s="1290"/>
      <c r="K10" s="1290"/>
      <c r="L10" s="1291"/>
      <c r="P10" s="2900"/>
      <c r="Q10" s="1408"/>
      <c r="R10" s="293"/>
      <c r="S10" s="1205"/>
      <c r="T10" s="302" t="s">
        <v>457</v>
      </c>
      <c r="U10" s="304"/>
      <c r="V10" s="304"/>
      <c r="W10" s="304"/>
      <c r="X10" s="304"/>
      <c r="Y10" s="304"/>
      <c r="Z10" s="304"/>
      <c r="AA10" s="304"/>
      <c r="AB10" s="303"/>
      <c r="AC10" s="304"/>
      <c r="AD10" s="304"/>
      <c r="AE10" s="304"/>
      <c r="AF10" s="304"/>
      <c r="AG10" s="304"/>
      <c r="AH10" s="304"/>
      <c r="AI10" s="303"/>
      <c r="AJ10" s="304"/>
      <c r="AK10" s="1367"/>
      <c r="AM10" s="437"/>
      <c r="AN10" s="437" t="str">
        <f t="shared" si="0"/>
        <v>Добавить группу потребителей</v>
      </c>
      <c r="AO10" s="437"/>
      <c r="AP10" s="437"/>
      <c r="AQ10" s="1082">
        <v>0</v>
      </c>
    </row>
    <row r="11" spans="1:43" ht="21" hidden="1" customHeight="1">
      <c r="A11" s="1290"/>
      <c r="B11" s="1290"/>
      <c r="C11" s="1290"/>
      <c r="D11" s="1290"/>
      <c r="E11" s="2897"/>
      <c r="F11" s="2897"/>
      <c r="G11" s="2897"/>
      <c r="H11" s="2896"/>
      <c r="I11" s="1290"/>
      <c r="J11" s="1290"/>
      <c r="K11" s="1290"/>
      <c r="L11" s="1291"/>
      <c r="M11" s="1292"/>
      <c r="N11" s="1292"/>
      <c r="O11" s="474"/>
      <c r="P11" s="297"/>
      <c r="Q11" s="312"/>
      <c r="R11" s="292"/>
      <c r="S11" s="1205"/>
      <c r="T11" s="309" t="s">
        <v>534</v>
      </c>
      <c r="U11" s="304"/>
      <c r="V11" s="304"/>
      <c r="W11" s="304"/>
      <c r="X11" s="304"/>
      <c r="Y11" s="304"/>
      <c r="Z11" s="304"/>
      <c r="AA11" s="304"/>
      <c r="AB11" s="303"/>
      <c r="AC11" s="304"/>
      <c r="AD11" s="304"/>
      <c r="AE11" s="304"/>
      <c r="AF11" s="304"/>
      <c r="AG11" s="304"/>
      <c r="AH11" s="304"/>
      <c r="AI11" s="303"/>
      <c r="AJ11" s="304"/>
      <c r="AK11" s="241"/>
      <c r="AM11" s="437"/>
      <c r="AN11" s="437" t="str">
        <f t="shared" si="0"/>
        <v>Добавить наименование признака дифференциации</v>
      </c>
      <c r="AO11" s="437"/>
      <c r="AP11" s="437"/>
      <c r="AQ11" s="1082">
        <v>0</v>
      </c>
    </row>
    <row r="12" spans="1:43" s="1569" customFormat="1" ht="14.25" hidden="1" customHeight="1">
      <c r="A12" s="1270"/>
      <c r="B12" s="1270"/>
      <c r="C12" s="1241"/>
      <c r="D12" s="1241"/>
      <c r="E12" s="2897"/>
      <c r="F12" s="2896"/>
      <c r="G12" s="1241"/>
      <c r="H12" s="1241"/>
      <c r="I12" s="1241"/>
      <c r="J12" s="1241"/>
      <c r="K12" s="1241"/>
      <c r="L12" s="1421"/>
      <c r="M12" s="1248"/>
      <c r="N12" s="1248"/>
      <c r="P12" s="1243"/>
      <c r="Q12" s="1244"/>
      <c r="R12" s="1243"/>
      <c r="S12" s="1249"/>
      <c r="T12" s="1252" t="s">
        <v>176</v>
      </c>
      <c r="U12" s="1251"/>
      <c r="V12" s="1251"/>
      <c r="W12" s="1251"/>
      <c r="X12" s="1251"/>
      <c r="Y12" s="1251"/>
      <c r="Z12" s="1251"/>
      <c r="AA12" s="1251"/>
      <c r="AB12" s="1251"/>
      <c r="AC12" s="1251"/>
      <c r="AD12" s="1251"/>
      <c r="AE12" s="1251"/>
      <c r="AF12" s="1251"/>
      <c r="AG12" s="1251"/>
      <c r="AH12" s="1251"/>
      <c r="AI12" s="1251"/>
      <c r="AJ12" s="1251"/>
      <c r="AK12" s="1251"/>
      <c r="AM12" s="720"/>
      <c r="AN12" s="720" t="str">
        <f t="shared" si="0"/>
        <v>Добавить централизованную систему для дифференциации</v>
      </c>
      <c r="AO12" s="720"/>
      <c r="AP12" s="720"/>
      <c r="AQ12" s="455">
        <v>0</v>
      </c>
    </row>
    <row r="13" spans="1:43" s="1569" customFormat="1" ht="14.25" hidden="1" customHeight="1">
      <c r="A13" s="1270"/>
      <c r="B13" s="1270"/>
      <c r="C13" s="1270"/>
      <c r="D13" s="1270"/>
      <c r="E13" s="2896"/>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M13" s="437"/>
      <c r="AN13" s="437" t="str">
        <f t="shared" si="0"/>
        <v>Добавить территорию для дифференциации</v>
      </c>
      <c r="AO13" s="437"/>
      <c r="AP13" s="437"/>
      <c r="AQ13" s="448">
        <v>0</v>
      </c>
    </row>
    <row r="14" spans="1:43" ht="14.25" hidden="1" customHeight="1">
      <c r="AB14" s="265"/>
      <c r="AI14" s="265"/>
      <c r="AQ14" s="1082">
        <v>0</v>
      </c>
    </row>
    <row r="15" spans="1:43" ht="14.25" hidden="1" customHeight="1">
      <c r="AC15" s="1287"/>
      <c r="AD15" s="1287"/>
      <c r="AE15" s="1288"/>
      <c r="AF15" s="2894"/>
      <c r="AG15" s="2893" t="s">
        <v>71</v>
      </c>
      <c r="AH15" s="2894"/>
      <c r="AI15" s="2893" t="s">
        <v>71</v>
      </c>
      <c r="AQ15" s="1082">
        <v>0</v>
      </c>
    </row>
    <row r="16" spans="1:43" ht="14.25" hidden="1" customHeight="1">
      <c r="AC16" s="1287"/>
      <c r="AD16" s="1287"/>
      <c r="AE16" s="266" t="str">
        <f>AF15&amp;"-"&amp;AH15</f>
        <v>-</v>
      </c>
      <c r="AF16" s="2893"/>
      <c r="AG16" s="2893"/>
      <c r="AH16" s="2893"/>
      <c r="AI16" s="2893"/>
      <c r="AQ16" s="1082">
        <v>0</v>
      </c>
    </row>
    <row r="17" spans="1:43" ht="14.25" hidden="1" customHeight="1">
      <c r="AI17" s="265"/>
      <c r="AQ17" s="1082">
        <v>0</v>
      </c>
    </row>
    <row r="18" spans="1:43" s="1293" customFormat="1" ht="22.5" hidden="1" customHeight="1">
      <c r="L18" s="1405"/>
      <c r="M18" s="1289"/>
      <c r="N18" s="1289"/>
      <c r="O18" s="1294" t="s">
        <v>459</v>
      </c>
      <c r="P18" s="1289"/>
      <c r="Q18" s="1298"/>
      <c r="R18" s="1298"/>
      <c r="S18" s="666"/>
      <c r="Y18" s="1294"/>
      <c r="AA18" s="1294"/>
      <c r="AF18" s="1294"/>
      <c r="AH18" s="1294"/>
      <c r="AL18" s="448"/>
      <c r="AM18" s="448"/>
      <c r="AN18" s="448"/>
      <c r="AO18" s="448"/>
      <c r="AP18" s="448"/>
      <c r="AQ18" s="1087">
        <v>0</v>
      </c>
    </row>
    <row r="19" spans="1:43" s="1293" customFormat="1" ht="14.25" hidden="1" customHeight="1">
      <c r="L19" s="1405"/>
      <c r="M19" s="1289"/>
      <c r="N19" s="1289"/>
      <c r="O19" s="1289"/>
      <c r="P19" s="1289"/>
      <c r="Q19" s="1298"/>
      <c r="R19" s="1298"/>
      <c r="S19" s="666"/>
      <c r="AL19" s="448"/>
      <c r="AM19" s="448"/>
      <c r="AN19" s="448"/>
      <c r="AO19" s="448"/>
      <c r="AP19" s="448"/>
      <c r="AQ19" s="1087">
        <v>0</v>
      </c>
    </row>
    <row r="20" spans="1:43" s="1293" customFormat="1" ht="12" hidden="1" customHeight="1">
      <c r="L20" s="1405"/>
      <c r="M20" s="1289"/>
      <c r="N20" s="1289"/>
      <c r="O20" s="1291" t="s">
        <v>460</v>
      </c>
      <c r="P20" s="1289"/>
      <c r="Q20" s="1369"/>
      <c r="R20" s="1369"/>
      <c r="S20" s="666"/>
      <c r="T20" s="1087" t="s">
        <v>461</v>
      </c>
      <c r="Z20" s="124" t="s">
        <v>462</v>
      </c>
      <c r="AB20" s="124" t="s">
        <v>463</v>
      </c>
      <c r="AC20" s="1087" t="s">
        <v>461</v>
      </c>
      <c r="AG20" s="124" t="s">
        <v>464</v>
      </c>
      <c r="AI20" s="124" t="s">
        <v>463</v>
      </c>
      <c r="AQ20" s="1087">
        <v>0</v>
      </c>
    </row>
    <row r="21" spans="1:43" ht="14.25" hidden="1" customHeight="1">
      <c r="O21" s="1291"/>
      <c r="AQ21" s="1082">
        <v>0</v>
      </c>
    </row>
    <row r="22" spans="1:43" ht="14.25" hidden="1" customHeight="1">
      <c r="O22" s="1291"/>
      <c r="AQ22" s="1082">
        <v>0</v>
      </c>
    </row>
    <row r="23" spans="1:43" ht="15" customHeight="1">
      <c r="Q23" s="313"/>
      <c r="R23" s="313"/>
      <c r="S23" s="1202"/>
      <c r="T23" s="300"/>
      <c r="U23" s="300"/>
      <c r="V23" s="446"/>
      <c r="W23" s="446"/>
      <c r="X23" s="446"/>
      <c r="Y23" s="446"/>
      <c r="Z23" s="446"/>
      <c r="AA23" s="446"/>
      <c r="AB23" s="446"/>
      <c r="AC23" s="446"/>
      <c r="AD23" s="446"/>
      <c r="AE23" s="446"/>
      <c r="AF23" s="446"/>
      <c r="AG23" s="446"/>
      <c r="AH23" s="446"/>
      <c r="AI23" s="446"/>
      <c r="AQ23" s="1082">
        <v>14</v>
      </c>
    </row>
    <row r="24" spans="1:43" ht="15" customHeight="1">
      <c r="Q24" s="313"/>
      <c r="R24" s="313"/>
      <c r="S24" s="2877" t="str">
        <f>IF(TEMPLATE_GROUP="P",PT_P_FORM_VOTV_4_NAME_FORM,PT_R_FORM_VOTV_16_NAME_FORM)</f>
        <v>Форма 13. Информация о предложении организации водоотведения об установлении расчетной величины тарифов в сфере водоотведения на очередной период регулирования</v>
      </c>
      <c r="T24" s="2877"/>
      <c r="U24" s="2877"/>
      <c r="V24" s="2877"/>
      <c r="W24" s="2877"/>
      <c r="X24" s="2877"/>
      <c r="Y24" s="2877"/>
      <c r="Z24" s="2877"/>
      <c r="AA24" s="2877"/>
      <c r="AB24" s="2877"/>
      <c r="AC24" s="2877"/>
      <c r="AD24" s="2877"/>
      <c r="AE24" s="2877"/>
      <c r="AF24" s="2877"/>
      <c r="AG24" s="2877"/>
      <c r="AH24" s="2877"/>
      <c r="AI24" s="1170"/>
      <c r="AQ24" s="1082">
        <v>14</v>
      </c>
    </row>
    <row r="25" spans="1:43" ht="15" customHeight="1">
      <c r="Q25" s="313"/>
      <c r="R25" s="313"/>
      <c r="S25" s="2849" t="str">
        <f>IF(org=0,"Не определено",org)</f>
        <v>ТМУП "ТТС"</v>
      </c>
      <c r="T25" s="2849"/>
      <c r="U25" s="2849"/>
      <c r="V25" s="2849"/>
      <c r="W25" s="2849"/>
      <c r="X25" s="2849"/>
      <c r="Y25" s="2849"/>
      <c r="Z25" s="2849"/>
      <c r="AA25" s="2849"/>
      <c r="AB25" s="2849"/>
      <c r="AC25" s="2849"/>
      <c r="AD25" s="2849"/>
      <c r="AE25" s="2849"/>
      <c r="AF25" s="2849"/>
      <c r="AG25" s="2849"/>
      <c r="AH25" s="2849"/>
      <c r="AI25" s="1170"/>
      <c r="AQ25" s="1082">
        <v>14</v>
      </c>
    </row>
    <row r="26" spans="1:43" ht="14.25" hidden="1" customHeight="1">
      <c r="Q26" s="313"/>
      <c r="R26" s="313"/>
      <c r="S26" s="1202"/>
      <c r="T26" s="300"/>
      <c r="U26" s="300"/>
      <c r="V26" s="260"/>
      <c r="W26" s="260"/>
      <c r="X26" s="260"/>
      <c r="Y26" s="260"/>
      <c r="Z26" s="260"/>
      <c r="AA26" s="260"/>
      <c r="AB26" s="260"/>
      <c r="AC26" s="260"/>
      <c r="AD26" s="260"/>
      <c r="AE26" s="260"/>
      <c r="AF26" s="260"/>
      <c r="AG26" s="260"/>
      <c r="AH26" s="260"/>
      <c r="AI26" s="260"/>
      <c r="AJ26" s="446"/>
      <c r="AQ26" s="1082">
        <v>0</v>
      </c>
    </row>
    <row r="27" spans="1:43" s="1778" customFormat="1" ht="25.5" hidden="1" customHeight="1">
      <c r="A27" s="1295"/>
      <c r="B27" s="1295"/>
      <c r="C27" s="1295"/>
      <c r="D27" s="1295"/>
      <c r="E27" s="1295"/>
      <c r="F27" s="1295"/>
      <c r="G27" s="1295"/>
      <c r="H27" s="1295"/>
      <c r="I27" s="1295"/>
      <c r="J27" s="1295"/>
      <c r="K27" s="1295"/>
      <c r="L27" s="1296"/>
      <c r="M27" s="1295"/>
      <c r="N27" s="1295"/>
      <c r="O27" s="1295"/>
      <c r="S27" s="2887" t="s">
        <v>46</v>
      </c>
      <c r="T27" s="2887"/>
      <c r="U27" s="1299"/>
      <c r="V27" s="2889" t="str">
        <f>IF(TITLE_NAME_OR_PR_CHANGE="",IF(TITLE_NAME_OR_PR="","",TITLE_NAME_OR_PR),TITLE_NAME_OR_PR_CHANGE)</f>
        <v/>
      </c>
      <c r="W27" s="2889"/>
      <c r="X27" s="2889"/>
      <c r="Y27" s="2889"/>
      <c r="Z27" s="2889"/>
      <c r="AA27" s="2889"/>
      <c r="AB27" s="264"/>
      <c r="AC27" s="2889" t="str">
        <f>IF(TITLE_NAME_OR_PR_CHANGE="",IF(TITLE_NAME_OR_PR="","",TITLE_NAME_OR_PR),TITLE_NAME_OR_PR_CHANGE)</f>
        <v/>
      </c>
      <c r="AD27" s="2889"/>
      <c r="AE27" s="2889"/>
      <c r="AF27" s="2889"/>
      <c r="AG27" s="2889"/>
      <c r="AH27" s="2889"/>
      <c r="AI27" s="264"/>
      <c r="AJ27" s="264"/>
      <c r="AK27" s="218"/>
      <c r="AL27" s="305"/>
      <c r="AM27" s="305"/>
      <c r="AN27" s="305"/>
      <c r="AO27" s="305"/>
      <c r="AP27" s="305"/>
      <c r="AQ27" s="355">
        <v>0</v>
      </c>
    </row>
    <row r="28" spans="1:43" s="1778" customFormat="1" ht="18.75" hidden="1" customHeight="1">
      <c r="A28" s="1295"/>
      <c r="B28" s="1295"/>
      <c r="C28" s="1295"/>
      <c r="D28" s="1295"/>
      <c r="E28" s="1295"/>
      <c r="F28" s="1295"/>
      <c r="G28" s="1295"/>
      <c r="H28" s="1295"/>
      <c r="I28" s="1295"/>
      <c r="J28" s="1295"/>
      <c r="K28" s="1295"/>
      <c r="L28" s="1296"/>
      <c r="M28" s="1295"/>
      <c r="N28" s="1295"/>
      <c r="O28" s="1295"/>
      <c r="S28" s="2887" t="s">
        <v>465</v>
      </c>
      <c r="T28" s="2887"/>
      <c r="U28" s="1299"/>
      <c r="V28" s="2888" t="str">
        <f>IF(TITLE_DATE_PR_CHANGE="",IF(TITLE_DATE_PR="","",TITLE_DATE_PR),TITLE_DATE_PR_CHANGE)</f>
        <v>14.11.2024</v>
      </c>
      <c r="W28" s="2888"/>
      <c r="X28" s="2888"/>
      <c r="Y28" s="2888"/>
      <c r="Z28" s="2888"/>
      <c r="AA28" s="2888"/>
      <c r="AB28" s="264"/>
      <c r="AC28" s="2888" t="str">
        <f>IF(TITLE_DATE_PR_CHANGE="",IF(TITLE_DATE_PR="","",TITLE_DATE_PR),TITLE_DATE_PR_CHANGE)</f>
        <v>14.11.2024</v>
      </c>
      <c r="AD28" s="2888"/>
      <c r="AE28" s="2888"/>
      <c r="AF28" s="2888"/>
      <c r="AG28" s="2888"/>
      <c r="AH28" s="2888"/>
      <c r="AI28" s="264"/>
      <c r="AJ28" s="264"/>
      <c r="AK28" s="218"/>
      <c r="AL28" s="305"/>
      <c r="AM28" s="305"/>
      <c r="AN28" s="305"/>
      <c r="AO28" s="305"/>
      <c r="AP28" s="305"/>
      <c r="AQ28" s="355">
        <v>0</v>
      </c>
    </row>
    <row r="29" spans="1:43" s="1778" customFormat="1" ht="18.75" hidden="1" customHeight="1">
      <c r="A29" s="1295"/>
      <c r="B29" s="1295"/>
      <c r="C29" s="1295"/>
      <c r="D29" s="1295"/>
      <c r="E29" s="1295"/>
      <c r="F29" s="1295"/>
      <c r="G29" s="1295"/>
      <c r="H29" s="1295"/>
      <c r="I29" s="1295"/>
      <c r="J29" s="1295"/>
      <c r="K29" s="1295"/>
      <c r="L29" s="1296"/>
      <c r="M29" s="1295"/>
      <c r="N29" s="1295"/>
      <c r="O29" s="1295"/>
      <c r="S29" s="2887" t="s">
        <v>466</v>
      </c>
      <c r="T29" s="2887"/>
      <c r="U29" s="1299"/>
      <c r="V29" s="2889" t="str">
        <f>IF(TITLE_NUMBER_PR_CHANGE="",IF(TITLE_NUMBER_PR="","",TITLE_NUMBER_PR),TITLE_NUMBER_PR_CHANGE)</f>
        <v>947 от 12.11.2024</v>
      </c>
      <c r="W29" s="2889"/>
      <c r="X29" s="2889"/>
      <c r="Y29" s="2889"/>
      <c r="Z29" s="2889"/>
      <c r="AA29" s="2889"/>
      <c r="AB29" s="264"/>
      <c r="AC29" s="2889" t="str">
        <f>IF(TITLE_NUMBER_PR_CHANGE="",IF(TITLE_NUMBER_PR="","",TITLE_NUMBER_PR),TITLE_NUMBER_PR_CHANGE)</f>
        <v>947 от 12.11.2024</v>
      </c>
      <c r="AD29" s="2889"/>
      <c r="AE29" s="2889"/>
      <c r="AF29" s="2889"/>
      <c r="AG29" s="2889"/>
      <c r="AH29" s="2889"/>
      <c r="AI29" s="264"/>
      <c r="AJ29" s="264"/>
      <c r="AK29" s="218"/>
      <c r="AL29" s="305"/>
      <c r="AM29" s="305"/>
      <c r="AN29" s="305"/>
      <c r="AO29" s="305"/>
      <c r="AP29" s="305"/>
      <c r="AQ29" s="355">
        <v>0</v>
      </c>
    </row>
    <row r="30" spans="1:43" s="1778" customFormat="1" ht="18.75" hidden="1" customHeight="1">
      <c r="A30" s="1295"/>
      <c r="B30" s="1295"/>
      <c r="C30" s="1295"/>
      <c r="D30" s="1295"/>
      <c r="E30" s="1295"/>
      <c r="F30" s="1295"/>
      <c r="G30" s="1295"/>
      <c r="H30" s="1295"/>
      <c r="I30" s="1295"/>
      <c r="J30" s="1295"/>
      <c r="K30" s="1295"/>
      <c r="L30" s="1296"/>
      <c r="M30" s="1295"/>
      <c r="N30" s="1295"/>
      <c r="O30" s="1295"/>
      <c r="S30" s="2887" t="s">
        <v>47</v>
      </c>
      <c r="T30" s="2887"/>
      <c r="U30" s="1299"/>
      <c r="V30" s="2889" t="str">
        <f>IF(TITLE_IST_PUB_CHANGE="",IF(TITLE_IST_PUB="","",TITLE_IST_PUB),TITLE_IST_PUB_CHANGE)</f>
        <v/>
      </c>
      <c r="W30" s="2889"/>
      <c r="X30" s="2889"/>
      <c r="Y30" s="2889"/>
      <c r="Z30" s="2889"/>
      <c r="AA30" s="2889"/>
      <c r="AB30" s="264"/>
      <c r="AC30" s="2889" t="str">
        <f>IF(TITLE_IST_PUB_CHANGE="",IF(TITLE_IST_PUB="","",TITLE_IST_PUB),TITLE_IST_PUB_CHANGE)</f>
        <v/>
      </c>
      <c r="AD30" s="2889"/>
      <c r="AE30" s="2889"/>
      <c r="AF30" s="2889"/>
      <c r="AG30" s="2889"/>
      <c r="AH30" s="2889"/>
      <c r="AI30" s="264"/>
      <c r="AJ30" s="264"/>
      <c r="AK30" s="218"/>
      <c r="AL30" s="305"/>
      <c r="AM30" s="305"/>
      <c r="AN30" s="305"/>
      <c r="AO30" s="305"/>
      <c r="AP30" s="305"/>
      <c r="AQ30" s="355">
        <v>0</v>
      </c>
    </row>
    <row r="31" spans="1:43" ht="14.25" customHeight="1">
      <c r="Q31" s="313"/>
      <c r="R31" s="313"/>
      <c r="S31" s="1202"/>
      <c r="T31" s="300"/>
      <c r="U31" s="300"/>
      <c r="V31" s="260"/>
      <c r="W31" s="260"/>
      <c r="X31" s="260"/>
      <c r="Y31" s="260"/>
      <c r="Z31" s="260"/>
      <c r="AA31" s="260"/>
      <c r="AB31" s="260"/>
      <c r="AC31" s="260"/>
      <c r="AD31" s="260"/>
      <c r="AE31" s="260"/>
      <c r="AF31" s="260"/>
      <c r="AG31" s="260"/>
      <c r="AH31" s="260"/>
      <c r="AI31" s="260"/>
      <c r="AJ31" s="446"/>
      <c r="AQ31" s="1082">
        <v>0</v>
      </c>
    </row>
    <row r="32" spans="1:43" s="1778" customFormat="1" ht="18.75" customHeight="1">
      <c r="A32" s="1295"/>
      <c r="B32" s="1295"/>
      <c r="C32" s="1295"/>
      <c r="D32" s="1295"/>
      <c r="E32" s="1295"/>
      <c r="F32" s="1295"/>
      <c r="G32" s="1295"/>
      <c r="H32" s="1295"/>
      <c r="I32" s="1295"/>
      <c r="J32" s="1295"/>
      <c r="K32" s="1295"/>
      <c r="L32" s="1296"/>
      <c r="M32" s="1295"/>
      <c r="N32" s="1295"/>
      <c r="O32" s="1295"/>
      <c r="S32" s="2887" t="s">
        <v>467</v>
      </c>
      <c r="T32" s="2887"/>
      <c r="U32" s="1299"/>
      <c r="V32" s="2888" t="str">
        <f>IF(TITLE_DATE_PR_CHANGE="",IF(TITLE_DATE_PR="","",TITLE_DATE_PR),TITLE_DATE_PR_CHANGE)</f>
        <v>14.11.2024</v>
      </c>
      <c r="W32" s="2888"/>
      <c r="X32" s="2888"/>
      <c r="Y32" s="2888"/>
      <c r="Z32" s="2888"/>
      <c r="AA32" s="2888"/>
      <c r="AB32" s="264"/>
      <c r="AC32" s="2888" t="str">
        <f>IF(TITLE_DATE_PR_CHANGE="",IF(TITLE_DATE_PR="","",TITLE_DATE_PR),TITLE_DATE_PR_CHANGE)</f>
        <v>14.11.2024</v>
      </c>
      <c r="AD32" s="2888"/>
      <c r="AE32" s="2888"/>
      <c r="AF32" s="2888"/>
      <c r="AG32" s="2888"/>
      <c r="AH32" s="2888"/>
      <c r="AI32" s="264"/>
      <c r="AJ32" s="264"/>
      <c r="AK32" s="218"/>
      <c r="AL32" s="305"/>
      <c r="AM32" s="305"/>
      <c r="AN32" s="305"/>
      <c r="AO32" s="305"/>
      <c r="AP32" s="305"/>
      <c r="AQ32" s="355">
        <v>0</v>
      </c>
    </row>
    <row r="33" spans="1:43" s="1778" customFormat="1" ht="18.75" customHeight="1">
      <c r="A33" s="1295"/>
      <c r="B33" s="1295"/>
      <c r="C33" s="1295"/>
      <c r="D33" s="1295"/>
      <c r="E33" s="1295"/>
      <c r="F33" s="1295"/>
      <c r="G33" s="1295"/>
      <c r="H33" s="1295"/>
      <c r="I33" s="1295"/>
      <c r="J33" s="1295"/>
      <c r="K33" s="1295"/>
      <c r="L33" s="1296"/>
      <c r="M33" s="1295"/>
      <c r="N33" s="1295"/>
      <c r="O33" s="1295"/>
      <c r="S33" s="2887" t="s">
        <v>468</v>
      </c>
      <c r="T33" s="2887"/>
      <c r="U33" s="1299"/>
      <c r="V33" s="2889" t="str">
        <f>IF(TITLE_NUMBER_PR_CHANGE="",IF(TITLE_NUMBER_PR="","",TITLE_NUMBER_PR),TITLE_NUMBER_PR_CHANGE)</f>
        <v>947 от 12.11.2024</v>
      </c>
      <c r="W33" s="2889"/>
      <c r="X33" s="2889"/>
      <c r="Y33" s="2889"/>
      <c r="Z33" s="2889"/>
      <c r="AA33" s="2889"/>
      <c r="AB33" s="264"/>
      <c r="AC33" s="2889" t="str">
        <f>IF(TITLE_NUMBER_PR_CHANGE="",IF(TITLE_NUMBER_PR="","",TITLE_NUMBER_PR),TITLE_NUMBER_PR_CHANGE)</f>
        <v>947 от 12.11.2024</v>
      </c>
      <c r="AD33" s="2889"/>
      <c r="AE33" s="2889"/>
      <c r="AF33" s="2889"/>
      <c r="AG33" s="2889"/>
      <c r="AH33" s="2889"/>
      <c r="AI33" s="264"/>
      <c r="AJ33" s="264"/>
      <c r="AK33" s="218"/>
      <c r="AL33" s="305"/>
      <c r="AM33" s="305"/>
      <c r="AN33" s="305"/>
      <c r="AO33" s="305"/>
      <c r="AP33" s="305"/>
      <c r="AQ33" s="355">
        <v>0</v>
      </c>
    </row>
    <row r="34" spans="1:43" s="1778" customFormat="1" ht="0.75" customHeight="1">
      <c r="A34" s="1295"/>
      <c r="B34" s="1295"/>
      <c r="C34" s="1295"/>
      <c r="D34" s="1295"/>
      <c r="E34" s="1295"/>
      <c r="F34" s="1295"/>
      <c r="G34" s="1295"/>
      <c r="H34" s="1295"/>
      <c r="I34" s="1295"/>
      <c r="J34" s="1295"/>
      <c r="K34" s="1295"/>
      <c r="L34" s="1296"/>
      <c r="M34" s="1295"/>
      <c r="N34" s="1295"/>
      <c r="O34" s="1295"/>
      <c r="S34" s="261"/>
      <c r="T34" s="261"/>
      <c r="U34" s="1415"/>
      <c r="V34" s="264"/>
      <c r="W34" s="264"/>
      <c r="X34" s="264"/>
      <c r="Y34" s="264"/>
      <c r="Z34" s="264"/>
      <c r="AA34" s="264"/>
      <c r="AB34" s="216" t="s">
        <v>469</v>
      </c>
      <c r="AC34" s="264"/>
      <c r="AD34" s="264"/>
      <c r="AE34" s="264"/>
      <c r="AF34" s="264"/>
      <c r="AG34" s="264"/>
      <c r="AH34" s="264"/>
      <c r="AI34" s="216" t="s">
        <v>469</v>
      </c>
      <c r="AL34" s="305"/>
      <c r="AM34" s="305"/>
      <c r="AN34" s="305"/>
      <c r="AO34" s="305"/>
      <c r="AP34" s="305"/>
      <c r="AQ34" s="355">
        <v>1</v>
      </c>
    </row>
    <row r="35" spans="1:43" ht="15" customHeight="1">
      <c r="Q35" s="313"/>
      <c r="R35" s="313"/>
      <c r="S35" s="1202"/>
      <c r="T35" s="300"/>
      <c r="U35" s="1171"/>
      <c r="V35" s="2908"/>
      <c r="W35" s="2908"/>
      <c r="X35" s="2908"/>
      <c r="Y35" s="2908"/>
      <c r="Z35" s="2908"/>
      <c r="AA35" s="2908"/>
      <c r="AB35" s="2908"/>
      <c r="AC35" s="2908"/>
      <c r="AD35" s="2908"/>
      <c r="AE35" s="2908"/>
      <c r="AF35" s="2908"/>
      <c r="AG35" s="2908"/>
      <c r="AH35" s="2908"/>
      <c r="AI35" s="2908"/>
      <c r="AQ35" s="1082">
        <v>14</v>
      </c>
    </row>
    <row r="36" spans="1:43" ht="15" customHeight="1">
      <c r="Q36" s="313"/>
      <c r="R36" s="313"/>
      <c r="S36" s="2758" t="s">
        <v>345</v>
      </c>
      <c r="T36" s="2758"/>
      <c r="U36" s="2758"/>
      <c r="V36" s="2758"/>
      <c r="W36" s="2758"/>
      <c r="X36" s="2758"/>
      <c r="Y36" s="2758"/>
      <c r="Z36" s="2758"/>
      <c r="AA36" s="2758"/>
      <c r="AB36" s="2758"/>
      <c r="AC36" s="2758"/>
      <c r="AD36" s="2758"/>
      <c r="AE36" s="2758"/>
      <c r="AF36" s="2758"/>
      <c r="AG36" s="2758"/>
      <c r="AH36" s="2758"/>
      <c r="AI36" s="2758"/>
      <c r="AJ36" s="2758"/>
      <c r="AK36" s="2758" t="s">
        <v>346</v>
      </c>
      <c r="AQ36" s="1082">
        <v>14</v>
      </c>
    </row>
    <row r="37" spans="1:43" ht="15" customHeight="1">
      <c r="Q37" s="313"/>
      <c r="R37" s="313"/>
      <c r="S37" s="2909" t="s">
        <v>93</v>
      </c>
      <c r="T37" s="2857" t="s">
        <v>470</v>
      </c>
      <c r="U37" s="239"/>
      <c r="V37" s="2910" t="s">
        <v>471</v>
      </c>
      <c r="W37" s="2911"/>
      <c r="X37" s="2911"/>
      <c r="Y37" s="2911"/>
      <c r="Z37" s="2911"/>
      <c r="AA37" s="2912"/>
      <c r="AB37" s="2913" t="s">
        <v>472</v>
      </c>
      <c r="AC37" s="2910" t="s">
        <v>471</v>
      </c>
      <c r="AD37" s="2911"/>
      <c r="AE37" s="2911"/>
      <c r="AF37" s="2911"/>
      <c r="AG37" s="2911"/>
      <c r="AH37" s="2912"/>
      <c r="AI37" s="2913" t="s">
        <v>473</v>
      </c>
      <c r="AJ37" s="2916" t="s">
        <v>474</v>
      </c>
      <c r="AK37" s="2758"/>
      <c r="AQ37" s="1082">
        <v>14</v>
      </c>
    </row>
    <row r="38" spans="1:43" ht="36" customHeight="1">
      <c r="Q38" s="313"/>
      <c r="R38" s="313"/>
      <c r="S38" s="2909"/>
      <c r="T38" s="2857"/>
      <c r="U38" s="961"/>
      <c r="V38" s="1410" t="s">
        <v>535</v>
      </c>
      <c r="W38" s="2740" t="s">
        <v>477</v>
      </c>
      <c r="X38" s="2739"/>
      <c r="Y38" s="2740" t="s">
        <v>478</v>
      </c>
      <c r="Z38" s="2745"/>
      <c r="AA38" s="2739"/>
      <c r="AB38" s="2914"/>
      <c r="AC38" s="1410" t="s">
        <v>535</v>
      </c>
      <c r="AD38" s="2740" t="s">
        <v>477</v>
      </c>
      <c r="AE38" s="2739"/>
      <c r="AF38" s="2740" t="s">
        <v>478</v>
      </c>
      <c r="AG38" s="2745"/>
      <c r="AH38" s="2739"/>
      <c r="AI38" s="2914"/>
      <c r="AJ38" s="2917"/>
      <c r="AK38" s="2758"/>
      <c r="AQ38" s="1082">
        <v>34</v>
      </c>
    </row>
    <row r="39" spans="1:43" ht="90" customHeight="1">
      <c r="A39" s="1297"/>
      <c r="B39" s="1297" t="s">
        <v>140</v>
      </c>
      <c r="C39" s="1297" t="s">
        <v>141</v>
      </c>
      <c r="D39" s="1297" t="s">
        <v>142</v>
      </c>
      <c r="E39" s="1291" t="s">
        <v>479</v>
      </c>
      <c r="F39" s="1291" t="s">
        <v>480</v>
      </c>
      <c r="G39" s="1291" t="s">
        <v>481</v>
      </c>
      <c r="H39" s="1291"/>
      <c r="I39" s="1291" t="s">
        <v>536</v>
      </c>
      <c r="J39" s="1291" t="s">
        <v>484</v>
      </c>
      <c r="K39" s="1291" t="s">
        <v>537</v>
      </c>
      <c r="L39" s="1291" t="s">
        <v>460</v>
      </c>
      <c r="Q39" s="313"/>
      <c r="R39" s="313"/>
      <c r="S39" s="2909"/>
      <c r="T39" s="2857"/>
      <c r="U39" s="240"/>
      <c r="V39" s="1410" t="s">
        <v>564</v>
      </c>
      <c r="W39" s="1149" t="s">
        <v>565</v>
      </c>
      <c r="X39" s="1149" t="s">
        <v>540</v>
      </c>
      <c r="Y39" s="1416" t="s">
        <v>488</v>
      </c>
      <c r="Z39" s="2862" t="s">
        <v>489</v>
      </c>
      <c r="AA39" s="2876"/>
      <c r="AB39" s="2915"/>
      <c r="AC39" s="1410" t="s">
        <v>564</v>
      </c>
      <c r="AD39" s="1149" t="s">
        <v>565</v>
      </c>
      <c r="AE39" s="1149" t="s">
        <v>540</v>
      </c>
      <c r="AF39" s="1416" t="s">
        <v>488</v>
      </c>
      <c r="AG39" s="2862" t="s">
        <v>489</v>
      </c>
      <c r="AH39" s="2876"/>
      <c r="AI39" s="2915"/>
      <c r="AJ39" s="2918"/>
      <c r="AK39" s="2758"/>
      <c r="AQ39" s="1082">
        <v>86</v>
      </c>
    </row>
    <row r="40" spans="1:43" s="1568" customFormat="1" ht="0" hidden="1" customHeight="1">
      <c r="A40" s="1297"/>
      <c r="B40" s="1297"/>
      <c r="C40" s="1297"/>
      <c r="D40" s="1297"/>
      <c r="E40" s="1297"/>
      <c r="F40" s="1297"/>
      <c r="G40" s="1297"/>
      <c r="H40" s="1297"/>
      <c r="I40" s="1297"/>
      <c r="J40" s="1297"/>
      <c r="K40" s="1297"/>
      <c r="L40" s="1291"/>
      <c r="M40" s="1289"/>
      <c r="N40" s="1289"/>
      <c r="O40" s="1289"/>
      <c r="P40" s="1173"/>
      <c r="Q40" s="1174"/>
      <c r="R40" s="1181">
        <v>1</v>
      </c>
      <c r="S40" s="1204" t="s">
        <v>114</v>
      </c>
      <c r="T40" s="1182" t="s">
        <v>115</v>
      </c>
      <c r="U40" s="1172" t="str">
        <f ca="1">OFFSET(U40,0,-1)</f>
        <v>2</v>
      </c>
      <c r="V40" s="1409">
        <f ca="1">OFFSET(V40,0,-1)+1</f>
        <v>3</v>
      </c>
      <c r="W40" s="1409">
        <f ca="1">OFFSET(W40,0,-1)+1</f>
        <v>4</v>
      </c>
      <c r="X40" s="1409">
        <f ca="1">OFFSET(X40,0,-1)+1</f>
        <v>5</v>
      </c>
      <c r="Y40" s="1409">
        <f ca="1">OFFSET(Y40,0,-1)+1</f>
        <v>6</v>
      </c>
      <c r="Z40" s="2907">
        <f ca="1">OFFSET(Z40,0,-1)+1</f>
        <v>7</v>
      </c>
      <c r="AA40" s="2907"/>
      <c r="AB40" s="1409">
        <f ca="1">OFFSET(AB40,0,-2)+1</f>
        <v>8</v>
      </c>
      <c r="AC40" s="1409">
        <f ca="1">OFFSET(AC40,0,-1)+1</f>
        <v>9</v>
      </c>
      <c r="AD40" s="1409">
        <f ca="1">OFFSET(AD40,0,-1)+1</f>
        <v>10</v>
      </c>
      <c r="AE40" s="1409">
        <f ca="1">OFFSET(AE40,0,-1)+1</f>
        <v>11</v>
      </c>
      <c r="AF40" s="1409">
        <f ca="1">OFFSET(AF40,0,-1)+1</f>
        <v>12</v>
      </c>
      <c r="AG40" s="2907">
        <f ca="1">OFFSET(AG40,0,-1)+1</f>
        <v>13</v>
      </c>
      <c r="AH40" s="2907"/>
      <c r="AI40" s="1409">
        <f ca="1">OFFSET(AI40,0,-2)+1</f>
        <v>14</v>
      </c>
      <c r="AJ40" s="1172">
        <f ca="1">OFFSET(AJ40,0,-1)</f>
        <v>14</v>
      </c>
      <c r="AK40" s="1409">
        <f ca="1">OFFSET(AK40,0,-1)+1</f>
        <v>15</v>
      </c>
      <c r="AL40" s="448"/>
      <c r="AM40" s="448"/>
      <c r="AN40" s="448"/>
      <c r="AO40" s="448"/>
      <c r="AP40" s="448"/>
      <c r="AQ40" s="433">
        <v>0</v>
      </c>
    </row>
    <row r="41" spans="1:43" ht="24" customHeight="1">
      <c r="A41" s="1290" t="s">
        <v>316</v>
      </c>
      <c r="B41" s="1290"/>
      <c r="C41" s="1290"/>
      <c r="D41" s="1290"/>
      <c r="E41" s="2896">
        <v>1</v>
      </c>
      <c r="F41" s="1290"/>
      <c r="G41" s="1290"/>
      <c r="H41" s="1290"/>
      <c r="I41" s="1290"/>
      <c r="J41" s="1290"/>
      <c r="K41" s="1290"/>
      <c r="L41" s="1291"/>
      <c r="M41" s="1292"/>
      <c r="N41" s="1292"/>
      <c r="O41" s="1292"/>
      <c r="P41" s="298"/>
      <c r="Q41" s="297"/>
      <c r="R41" s="292"/>
      <c r="S41" s="1420">
        <f>INDEX(PT_DIFFERENTIATION_NUM_NTAR,MATCH(A41,PT_DIFFERENTIATION_NTAR_ID,0))</f>
        <v>0</v>
      </c>
      <c r="T41" s="236" t="s">
        <v>128</v>
      </c>
      <c r="U41" s="238"/>
      <c r="V41" s="2890"/>
      <c r="W41" s="2891"/>
      <c r="X41" s="2891"/>
      <c r="Y41" s="2891"/>
      <c r="Z41" s="2891"/>
      <c r="AA41" s="2891"/>
      <c r="AB41" s="2892"/>
      <c r="AC41" s="2890" t="str">
        <f>INDEX(PT_DIFFERENTIATION_NTAR,MATCH(A41,PT_DIFFERENTIATION_NTAR_ID,0))</f>
        <v/>
      </c>
      <c r="AD41" s="2891"/>
      <c r="AE41" s="2891"/>
      <c r="AF41" s="2891"/>
      <c r="AG41" s="2891"/>
      <c r="AH41" s="2891"/>
      <c r="AI41" s="2891"/>
      <c r="AJ41" s="2892"/>
      <c r="AK41"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M41" s="437"/>
      <c r="AN41" s="437" t="str">
        <f t="shared" ref="AN41:AN53" si="1">IF(T41="","",T41)</f>
        <v>Наименование тарифа</v>
      </c>
      <c r="AO41" s="437"/>
      <c r="AP41" s="437"/>
      <c r="AQ41" s="1082">
        <v>23</v>
      </c>
    </row>
    <row r="42" spans="1:43" ht="24" customHeight="1">
      <c r="A42" s="1290" t="s">
        <v>316</v>
      </c>
      <c r="B42" s="1290" t="s">
        <v>317</v>
      </c>
      <c r="C42" s="1290"/>
      <c r="D42" s="1290"/>
      <c r="E42" s="2897"/>
      <c r="F42" s="2896">
        <v>1</v>
      </c>
      <c r="G42" s="1290"/>
      <c r="H42" s="1290"/>
      <c r="I42" s="1290"/>
      <c r="J42" s="1290"/>
      <c r="K42" s="1290"/>
      <c r="L42" s="1291"/>
      <c r="M42" s="1292"/>
      <c r="N42" s="1292"/>
      <c r="O42" s="1292"/>
      <c r="P42" s="1414"/>
      <c r="Q42" s="289"/>
      <c r="R42" s="290"/>
      <c r="S42" s="1420" t="str">
        <f>INDEX(PT_DIFFERENTIATION_NUM_TER,MATCH(B42,PT_DIFFERENTIATION_TER_ID,0))</f>
        <v>.</v>
      </c>
      <c r="T42" s="246" t="s">
        <v>442</v>
      </c>
      <c r="U42" s="238"/>
      <c r="V42" s="2890"/>
      <c r="W42" s="2891"/>
      <c r="X42" s="2891"/>
      <c r="Y42" s="2891"/>
      <c r="Z42" s="2891"/>
      <c r="AA42" s="2891"/>
      <c r="AB42" s="2892"/>
      <c r="AC42" s="2890" t="str">
        <f>INDEX(PT_DIFFERENTIATION_TER,MATCH(B42,PT_DIFFERENTIATION_TER_ID,0))</f>
        <v/>
      </c>
      <c r="AD42" s="2891"/>
      <c r="AE42" s="2891"/>
      <c r="AF42" s="2891"/>
      <c r="AG42" s="2891"/>
      <c r="AH42" s="2891"/>
      <c r="AI42" s="2891"/>
      <c r="AJ42" s="2892"/>
      <c r="AK42" s="1185" t="s">
        <v>443</v>
      </c>
      <c r="AM42" s="437"/>
      <c r="AN42" s="437" t="str">
        <f t="shared" si="1"/>
        <v>Территория действия тарифа</v>
      </c>
      <c r="AO42" s="437"/>
      <c r="AP42" s="437"/>
      <c r="AQ42" s="1082">
        <v>23</v>
      </c>
    </row>
    <row r="43" spans="1:43" ht="24" customHeight="1">
      <c r="A43" s="1290" t="s">
        <v>316</v>
      </c>
      <c r="B43" s="1290" t="s">
        <v>317</v>
      </c>
      <c r="C43" s="1290" t="s">
        <v>318</v>
      </c>
      <c r="D43" s="1290"/>
      <c r="E43" s="2897"/>
      <c r="F43" s="2897"/>
      <c r="G43" s="2896">
        <v>1</v>
      </c>
      <c r="H43" s="1290"/>
      <c r="I43" s="1290"/>
      <c r="J43" s="1290"/>
      <c r="K43" s="1290"/>
      <c r="L43" s="1291"/>
      <c r="M43" s="1292"/>
      <c r="N43" s="1292"/>
      <c r="O43" s="1292"/>
      <c r="P43" s="291"/>
      <c r="Q43" s="289"/>
      <c r="R43" s="290"/>
      <c r="S43" s="1420" t="str">
        <f>INDEX(PT_DIFFERENTIATION_NUM_CS,MATCH(C43,PT_DIFFERENTIATION_CS_ID,0))</f>
        <v>..</v>
      </c>
      <c r="T43" s="247" t="s">
        <v>562</v>
      </c>
      <c r="U43" s="238"/>
      <c r="V43" s="2890"/>
      <c r="W43" s="2891"/>
      <c r="X43" s="2891"/>
      <c r="Y43" s="2891"/>
      <c r="Z43" s="2891"/>
      <c r="AA43" s="2891"/>
      <c r="AB43" s="2892"/>
      <c r="AC43" s="2890" t="str">
        <f>INDEX(PT_DIFFERENTIATION_CS,MATCH(C43,PT_DIFFERENTIATION_CS_ID,0))</f>
        <v/>
      </c>
      <c r="AD43" s="2891"/>
      <c r="AE43" s="2891"/>
      <c r="AF43" s="2891"/>
      <c r="AG43" s="2891"/>
      <c r="AH43" s="2891"/>
      <c r="AI43" s="2891"/>
      <c r="AJ43" s="2892"/>
      <c r="AK43" s="1185" t="s">
        <v>563</v>
      </c>
      <c r="AM43" s="437"/>
      <c r="AN43" s="437" t="str">
        <f t="shared" si="1"/>
        <v>Наименование централизованной системы водоотведения</v>
      </c>
      <c r="AO43" s="437"/>
      <c r="AP43" s="437"/>
      <c r="AQ43" s="1082">
        <v>23</v>
      </c>
    </row>
    <row r="44" spans="1:43" ht="24" customHeight="1">
      <c r="A44" s="1290" t="s">
        <v>316</v>
      </c>
      <c r="B44" s="1290" t="s">
        <v>317</v>
      </c>
      <c r="C44" s="1290" t="s">
        <v>318</v>
      </c>
      <c r="D44" s="1290" t="s">
        <v>567</v>
      </c>
      <c r="E44" s="2897"/>
      <c r="F44" s="2897"/>
      <c r="G44" s="2897"/>
      <c r="H44" s="2897"/>
      <c r="I44" s="2898" t="str">
        <f>S43&amp;".1"</f>
        <v>...1</v>
      </c>
      <c r="J44" s="1290"/>
      <c r="K44" s="1290"/>
      <c r="L44" s="1291"/>
      <c r="P44" s="2900">
        <v>1</v>
      </c>
      <c r="Q44" s="1408"/>
      <c r="R44" s="293"/>
      <c r="S44" s="1420" t="str">
        <f>$I44</f>
        <v>...1</v>
      </c>
      <c r="T44" s="223" t="s">
        <v>529</v>
      </c>
      <c r="U44" s="238"/>
      <c r="V44" s="2965"/>
      <c r="W44" s="2966"/>
      <c r="X44" s="2966"/>
      <c r="Y44" s="2966"/>
      <c r="Z44" s="2966"/>
      <c r="AA44" s="2966"/>
      <c r="AB44" s="2967"/>
      <c r="AC44" s="2968"/>
      <c r="AD44" s="2969"/>
      <c r="AE44" s="2969"/>
      <c r="AF44" s="2969"/>
      <c r="AG44" s="2969"/>
      <c r="AH44" s="2969"/>
      <c r="AI44" s="2969"/>
      <c r="AJ44" s="2970"/>
      <c r="AK44" s="1185" t="s">
        <v>530</v>
      </c>
      <c r="AM44" s="437"/>
      <c r="AN44" s="437" t="str">
        <f t="shared" si="1"/>
        <v>Наименование признака дифференциации</v>
      </c>
      <c r="AO44" s="437"/>
      <c r="AP44" s="437"/>
      <c r="AQ44" s="1082">
        <v>23</v>
      </c>
    </row>
    <row r="45" spans="1:43" ht="24" customHeight="1">
      <c r="A45" s="1290" t="s">
        <v>316</v>
      </c>
      <c r="B45" s="1290" t="s">
        <v>317</v>
      </c>
      <c r="C45" s="1290" t="s">
        <v>318</v>
      </c>
      <c r="D45" s="1290" t="s">
        <v>567</v>
      </c>
      <c r="E45" s="2897"/>
      <c r="F45" s="2897"/>
      <c r="G45" s="2897"/>
      <c r="H45" s="2897"/>
      <c r="I45" s="2899"/>
      <c r="J45" s="2898" t="str">
        <f>I44&amp;".1"</f>
        <v>...1.1</v>
      </c>
      <c r="K45" s="1290"/>
      <c r="L45" s="1291" t="s">
        <v>451</v>
      </c>
      <c r="P45" s="2900"/>
      <c r="Q45" s="2900">
        <v>1</v>
      </c>
      <c r="R45" s="294"/>
      <c r="S45" s="1420" t="str">
        <f>$J45</f>
        <v>...1.1</v>
      </c>
      <c r="T45" s="224" t="s">
        <v>452</v>
      </c>
      <c r="U45" s="238"/>
      <c r="V45" s="2884"/>
      <c r="W45" s="2885"/>
      <c r="X45" s="2885"/>
      <c r="Y45" s="2885"/>
      <c r="Z45" s="2885"/>
      <c r="AA45" s="2885"/>
      <c r="AB45" s="2886"/>
      <c r="AC45" s="2884"/>
      <c r="AD45" s="2885"/>
      <c r="AE45" s="2885"/>
      <c r="AF45" s="2885"/>
      <c r="AG45" s="2885"/>
      <c r="AH45" s="2885"/>
      <c r="AI45" s="2885"/>
      <c r="AJ45" s="2886"/>
      <c r="AK45" s="1234" t="s">
        <v>531</v>
      </c>
      <c r="AM45" s="437"/>
      <c r="AN45" s="437" t="str">
        <f t="shared" si="1"/>
        <v>Группа потребителей</v>
      </c>
      <c r="AO45" s="437"/>
      <c r="AP45" s="437"/>
      <c r="AQ45" s="1082">
        <v>23</v>
      </c>
    </row>
    <row r="46" spans="1:43" ht="24" customHeight="1">
      <c r="A46" s="1290" t="s">
        <v>316</v>
      </c>
      <c r="B46" s="1290" t="s">
        <v>317</v>
      </c>
      <c r="C46" s="1290" t="s">
        <v>318</v>
      </c>
      <c r="D46" s="1290" t="s">
        <v>567</v>
      </c>
      <c r="E46" s="2897"/>
      <c r="F46" s="2897"/>
      <c r="G46" s="2897"/>
      <c r="H46" s="2897"/>
      <c r="I46" s="2899"/>
      <c r="J46" s="2899"/>
      <c r="K46" s="2898" t="str">
        <f>J45&amp;".1"</f>
        <v>...1.1.1</v>
      </c>
      <c r="L46" s="1291"/>
      <c r="P46" s="2900"/>
      <c r="Q46" s="2900"/>
      <c r="R46" s="294">
        <v>1</v>
      </c>
      <c r="S46" s="1420" t="str">
        <f>$K46</f>
        <v>...1.1.1</v>
      </c>
      <c r="T46" s="1364"/>
      <c r="U46" s="238"/>
      <c r="V46" s="1287"/>
      <c r="W46" s="1287"/>
      <c r="X46" s="1288"/>
      <c r="Y46" s="2894"/>
      <c r="Z46" s="2893" t="s">
        <v>71</v>
      </c>
      <c r="AA46" s="2894"/>
      <c r="AB46" s="2893" t="s">
        <v>71</v>
      </c>
      <c r="AC46" s="688"/>
      <c r="AD46" s="688"/>
      <c r="AE46" s="1184"/>
      <c r="AF46" s="2901"/>
      <c r="AG46" s="2768" t="s">
        <v>71</v>
      </c>
      <c r="AH46" s="2903"/>
      <c r="AI46" s="2768" t="s">
        <v>19</v>
      </c>
      <c r="AJ46" s="1365"/>
      <c r="AK46" s="29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L46" s="448" t="e">
        <f ca="1">STRCHECKDATE(V47:AJ47)</f>
        <v>#NAME?</v>
      </c>
      <c r="AM46" s="437"/>
      <c r="AN46" s="437" t="str">
        <f t="shared" si="1"/>
        <v/>
      </c>
      <c r="AO46" s="437"/>
      <c r="AP46" s="437"/>
      <c r="AQ46" s="1082">
        <v>23</v>
      </c>
    </row>
    <row r="47" spans="1:43" ht="0" hidden="1" customHeight="1">
      <c r="A47" s="1290" t="s">
        <v>316</v>
      </c>
      <c r="B47" s="1290" t="s">
        <v>317</v>
      </c>
      <c r="C47" s="1290" t="s">
        <v>318</v>
      </c>
      <c r="D47" s="1290" t="s">
        <v>567</v>
      </c>
      <c r="E47" s="2897"/>
      <c r="F47" s="2897"/>
      <c r="G47" s="2897"/>
      <c r="H47" s="2897"/>
      <c r="I47" s="2899"/>
      <c r="J47" s="2899"/>
      <c r="K47" s="2898"/>
      <c r="L47" s="1291"/>
      <c r="P47" s="2900"/>
      <c r="Q47" s="2900"/>
      <c r="R47" s="294"/>
      <c r="S47" s="1417"/>
      <c r="T47" s="238"/>
      <c r="U47" s="238"/>
      <c r="V47" s="1287"/>
      <c r="W47" s="1287"/>
      <c r="X47" s="266" t="str">
        <f>Y46&amp;"-"&amp;AA46</f>
        <v>-</v>
      </c>
      <c r="Y47" s="2893"/>
      <c r="Z47" s="2893"/>
      <c r="AA47" s="2893"/>
      <c r="AB47" s="2893"/>
      <c r="AC47" s="263"/>
      <c r="AD47" s="263"/>
      <c r="AE47" s="266" t="str">
        <f>AF46&amp;"-"&amp;AH46</f>
        <v>-</v>
      </c>
      <c r="AF47" s="2902"/>
      <c r="AG47" s="2768"/>
      <c r="AH47" s="2904"/>
      <c r="AI47" s="2768"/>
      <c r="AJ47" s="1366"/>
      <c r="AK47" s="2971"/>
      <c r="AM47" s="437"/>
      <c r="AN47" s="437" t="str">
        <f t="shared" si="1"/>
        <v/>
      </c>
      <c r="AO47" s="437"/>
      <c r="AP47" s="437"/>
      <c r="AQ47" s="1082">
        <v>0</v>
      </c>
    </row>
    <row r="48" spans="1:43" ht="21" customHeight="1">
      <c r="A48" s="1290" t="s">
        <v>316</v>
      </c>
      <c r="B48" s="1290" t="s">
        <v>317</v>
      </c>
      <c r="C48" s="1290" t="s">
        <v>318</v>
      </c>
      <c r="D48" s="1290" t="s">
        <v>567</v>
      </c>
      <c r="E48" s="2897"/>
      <c r="F48" s="2897"/>
      <c r="G48" s="2897"/>
      <c r="H48" s="2897"/>
      <c r="I48" s="2899"/>
      <c r="J48" s="2898"/>
      <c r="K48" s="1290"/>
      <c r="L48" s="1291"/>
      <c r="P48" s="2900"/>
      <c r="Q48" s="2900"/>
      <c r="R48" s="293"/>
      <c r="S48" s="1205"/>
      <c r="T48" s="225" t="s">
        <v>532</v>
      </c>
      <c r="U48" s="304"/>
      <c r="V48" s="304"/>
      <c r="W48" s="304"/>
      <c r="X48" s="304"/>
      <c r="Y48" s="304"/>
      <c r="Z48" s="304"/>
      <c r="AA48" s="304"/>
      <c r="AB48" s="304"/>
      <c r="AC48" s="304"/>
      <c r="AD48" s="304"/>
      <c r="AE48" s="304"/>
      <c r="AF48" s="304"/>
      <c r="AG48" s="304"/>
      <c r="AH48" s="304"/>
      <c r="AI48" s="304"/>
      <c r="AJ48" s="304"/>
      <c r="AK48" s="1185" t="s">
        <v>533</v>
      </c>
      <c r="AM48" s="437"/>
      <c r="AN48" s="437" t="str">
        <f t="shared" si="1"/>
        <v>Добавить значение признака дифференциации</v>
      </c>
      <c r="AO48" s="437"/>
      <c r="AP48" s="437"/>
      <c r="AQ48" s="1082">
        <v>20</v>
      </c>
    </row>
    <row r="49" spans="1:43" ht="21.75" customHeight="1">
      <c r="A49" s="1290" t="s">
        <v>316</v>
      </c>
      <c r="B49" s="1290" t="s">
        <v>317</v>
      </c>
      <c r="C49" s="1290" t="s">
        <v>318</v>
      </c>
      <c r="D49" s="1290" t="s">
        <v>567</v>
      </c>
      <c r="E49" s="2897"/>
      <c r="F49" s="2897"/>
      <c r="G49" s="2897"/>
      <c r="H49" s="2897"/>
      <c r="I49" s="2898"/>
      <c r="J49" s="1290"/>
      <c r="K49" s="1290"/>
      <c r="L49" s="1291"/>
      <c r="P49" s="2900"/>
      <c r="Q49" s="1408"/>
      <c r="R49" s="293"/>
      <c r="S49" s="1205"/>
      <c r="T49" s="302" t="s">
        <v>457</v>
      </c>
      <c r="U49" s="304"/>
      <c r="V49" s="304"/>
      <c r="W49" s="304"/>
      <c r="X49" s="304"/>
      <c r="Y49" s="304"/>
      <c r="Z49" s="304"/>
      <c r="AA49" s="304"/>
      <c r="AB49" s="303"/>
      <c r="AC49" s="304"/>
      <c r="AD49" s="304"/>
      <c r="AE49" s="304"/>
      <c r="AF49" s="304"/>
      <c r="AG49" s="304"/>
      <c r="AH49" s="304"/>
      <c r="AI49" s="303"/>
      <c r="AJ49" s="304"/>
      <c r="AK49" s="1367"/>
      <c r="AM49" s="437"/>
      <c r="AN49" s="437" t="str">
        <f t="shared" si="1"/>
        <v>Добавить группу потребителей</v>
      </c>
      <c r="AO49" s="437"/>
      <c r="AP49" s="437"/>
      <c r="AQ49" s="1082">
        <v>21</v>
      </c>
    </row>
    <row r="50" spans="1:43" ht="21.75" customHeight="1">
      <c r="A50" s="1290" t="s">
        <v>316</v>
      </c>
      <c r="B50" s="1290" t="s">
        <v>317</v>
      </c>
      <c r="C50" s="1290" t="s">
        <v>318</v>
      </c>
      <c r="D50" s="1290" t="s">
        <v>567</v>
      </c>
      <c r="E50" s="2897"/>
      <c r="F50" s="2897"/>
      <c r="G50" s="2897"/>
      <c r="H50" s="2896"/>
      <c r="I50" s="1290"/>
      <c r="J50" s="1290"/>
      <c r="K50" s="1290"/>
      <c r="L50" s="1291"/>
      <c r="M50" s="1292"/>
      <c r="N50" s="1292"/>
      <c r="O50" s="474"/>
      <c r="P50" s="297"/>
      <c r="Q50" s="312"/>
      <c r="R50" s="292"/>
      <c r="S50" s="1205"/>
      <c r="T50" s="309" t="s">
        <v>534</v>
      </c>
      <c r="U50" s="304"/>
      <c r="V50" s="304"/>
      <c r="W50" s="304"/>
      <c r="X50" s="304"/>
      <c r="Y50" s="304"/>
      <c r="Z50" s="304"/>
      <c r="AA50" s="304"/>
      <c r="AB50" s="303"/>
      <c r="AC50" s="304"/>
      <c r="AD50" s="304"/>
      <c r="AE50" s="304"/>
      <c r="AF50" s="304"/>
      <c r="AG50" s="304"/>
      <c r="AH50" s="304"/>
      <c r="AI50" s="303"/>
      <c r="AJ50" s="304"/>
      <c r="AK50" s="241"/>
      <c r="AM50" s="437"/>
      <c r="AN50" s="437" t="str">
        <f t="shared" si="1"/>
        <v>Добавить наименование признака дифференциации</v>
      </c>
      <c r="AO50" s="437"/>
      <c r="AP50" s="437"/>
      <c r="AQ50" s="1082">
        <v>21</v>
      </c>
    </row>
    <row r="51" spans="1:43" s="1569" customFormat="1" ht="0" hidden="1" customHeight="1">
      <c r="A51" s="1270" t="s">
        <v>316</v>
      </c>
      <c r="B51" s="1270" t="s">
        <v>317</v>
      </c>
      <c r="C51" s="1241"/>
      <c r="D51" s="1241"/>
      <c r="E51" s="2897"/>
      <c r="F51" s="2896"/>
      <c r="G51" s="1241"/>
      <c r="H51" s="1241"/>
      <c r="I51" s="1241"/>
      <c r="J51" s="1241"/>
      <c r="K51" s="1241"/>
      <c r="L51" s="1421"/>
      <c r="M51" s="1248"/>
      <c r="N51" s="1248"/>
      <c r="P51" s="1243"/>
      <c r="Q51" s="1244"/>
      <c r="R51" s="1243"/>
      <c r="S51" s="1249"/>
      <c r="T51" s="1252" t="s">
        <v>176</v>
      </c>
      <c r="U51" s="1251"/>
      <c r="V51" s="1251"/>
      <c r="W51" s="1251"/>
      <c r="X51" s="1251"/>
      <c r="Y51" s="1251"/>
      <c r="Z51" s="1251"/>
      <c r="AA51" s="1251"/>
      <c r="AB51" s="1251"/>
      <c r="AC51" s="1251"/>
      <c r="AD51" s="1251"/>
      <c r="AE51" s="1251"/>
      <c r="AF51" s="1251"/>
      <c r="AG51" s="1251"/>
      <c r="AH51" s="1251"/>
      <c r="AI51" s="1251"/>
      <c r="AJ51" s="1251"/>
      <c r="AK51" s="1251"/>
      <c r="AM51" s="720"/>
      <c r="AN51" s="720" t="str">
        <f t="shared" si="1"/>
        <v>Добавить централизованную систему для дифференциации</v>
      </c>
      <c r="AO51" s="720"/>
      <c r="AP51" s="720"/>
      <c r="AQ51" s="455">
        <v>0</v>
      </c>
    </row>
    <row r="52" spans="1:43" s="1569" customFormat="1" ht="0" hidden="1" customHeight="1">
      <c r="A52" s="1270" t="s">
        <v>316</v>
      </c>
      <c r="B52" s="1270"/>
      <c r="C52" s="1270"/>
      <c r="D52" s="1270"/>
      <c r="E52" s="2896"/>
      <c r="F52" s="1270"/>
      <c r="G52" s="1270"/>
      <c r="H52" s="1270"/>
      <c r="I52" s="1270"/>
      <c r="J52" s="1270"/>
      <c r="K52" s="1270"/>
      <c r="L52" s="1273"/>
      <c r="M52" s="1248"/>
      <c r="N52" s="1248"/>
      <c r="O52" s="455"/>
      <c r="P52" s="317"/>
      <c r="Q52" s="1271"/>
      <c r="R52" s="317"/>
      <c r="S52" s="1249"/>
      <c r="T52" s="1252" t="s">
        <v>178</v>
      </c>
      <c r="U52" s="1251"/>
      <c r="V52" s="1251"/>
      <c r="W52" s="1251"/>
      <c r="X52" s="1251"/>
      <c r="Y52" s="1251"/>
      <c r="Z52" s="1251"/>
      <c r="AA52" s="1251"/>
      <c r="AB52" s="1251"/>
      <c r="AC52" s="1251"/>
      <c r="AD52" s="1251"/>
      <c r="AE52" s="1251"/>
      <c r="AF52" s="1251"/>
      <c r="AG52" s="1251"/>
      <c r="AH52" s="1251"/>
      <c r="AI52" s="1251"/>
      <c r="AJ52" s="1251"/>
      <c r="AK52" s="1251"/>
      <c r="AM52" s="437"/>
      <c r="AN52" s="437" t="str">
        <f t="shared" si="1"/>
        <v>Добавить территорию для дифференциации</v>
      </c>
      <c r="AO52" s="437"/>
      <c r="AP52" s="437"/>
      <c r="AQ52" s="448">
        <v>0</v>
      </c>
    </row>
    <row r="53" spans="1:43" s="1569" customFormat="1" ht="0" hidden="1" customHeight="1">
      <c r="A53" s="1241"/>
      <c r="B53" s="1241"/>
      <c r="C53" s="1241"/>
      <c r="D53" s="1241"/>
      <c r="E53" s="1270"/>
      <c r="F53" s="1241"/>
      <c r="G53" s="1241"/>
      <c r="H53" s="1241"/>
      <c r="I53" s="1241"/>
      <c r="J53" s="1241"/>
      <c r="K53" s="1241"/>
      <c r="L53" s="1421"/>
      <c r="M53" s="1248"/>
      <c r="N53" s="1248"/>
      <c r="P53" s="1243"/>
      <c r="Q53" s="1244"/>
      <c r="R53" s="1243"/>
      <c r="S53" s="1249"/>
      <c r="T53" s="1252" t="s">
        <v>212</v>
      </c>
      <c r="U53" s="1251"/>
      <c r="V53" s="1251"/>
      <c r="W53" s="1251"/>
      <c r="X53" s="1251"/>
      <c r="Y53" s="1251"/>
      <c r="Z53" s="1251"/>
      <c r="AA53" s="1251"/>
      <c r="AB53" s="1251"/>
      <c r="AC53" s="1251"/>
      <c r="AD53" s="1251"/>
      <c r="AE53" s="1251"/>
      <c r="AF53" s="1251"/>
      <c r="AG53" s="1251"/>
      <c r="AH53" s="1251"/>
      <c r="AI53" s="1251"/>
      <c r="AJ53" s="1251"/>
      <c r="AK53" s="1251"/>
      <c r="AM53" s="720"/>
      <c r="AN53" s="720" t="str">
        <f t="shared" si="1"/>
        <v>Добавить наименование тарифа</v>
      </c>
      <c r="AO53" s="720"/>
      <c r="AP53" s="720"/>
      <c r="AQ53" s="455">
        <v>0</v>
      </c>
    </row>
    <row r="54" spans="1:43" ht="11.25" customHeight="1">
      <c r="M54" s="1087"/>
      <c r="N54" s="1087"/>
      <c r="O54" s="474"/>
      <c r="P54" s="1082"/>
      <c r="Q54" s="1082"/>
      <c r="R54" s="1082"/>
      <c r="S54" s="1082"/>
      <c r="AL54" s="1082"/>
      <c r="AM54" s="1082"/>
      <c r="AN54" s="1082"/>
      <c r="AO54" s="1082"/>
      <c r="AP54" s="1082"/>
      <c r="AQ54" s="1082">
        <v>11</v>
      </c>
    </row>
    <row r="55" spans="1:43" ht="15" customHeight="1">
      <c r="O55" s="474"/>
      <c r="S55" s="1180"/>
      <c r="T55" s="2895"/>
      <c r="U55" s="2895"/>
      <c r="V55" s="2895"/>
      <c r="W55" s="2895"/>
      <c r="X55" s="2895"/>
      <c r="Y55" s="2895"/>
      <c r="Z55" s="2895"/>
      <c r="AA55" s="2895"/>
      <c r="AB55" s="2895"/>
      <c r="AC55" s="2895"/>
      <c r="AD55" s="2895"/>
      <c r="AE55" s="2895"/>
      <c r="AF55" s="2895"/>
      <c r="AG55" s="2895"/>
      <c r="AH55" s="2895"/>
      <c r="AI55" s="2895"/>
      <c r="AJ55" s="2895"/>
      <c r="AK55" s="2895"/>
      <c r="AQ55" s="1082">
        <v>14</v>
      </c>
    </row>
    <row r="56" spans="1:43" ht="15" customHeight="1">
      <c r="O56" s="474"/>
      <c r="AQ56" s="1082">
        <v>14</v>
      </c>
    </row>
    <row r="57" spans="1:43" ht="15" customHeight="1">
      <c r="O57" s="474"/>
      <c r="S57" s="1180"/>
      <c r="T57" s="2895"/>
      <c r="U57" s="2895"/>
      <c r="V57" s="2895"/>
      <c r="W57" s="2895"/>
      <c r="X57" s="2895"/>
      <c r="Y57" s="2895"/>
      <c r="Z57" s="2895"/>
      <c r="AA57" s="2895"/>
      <c r="AB57" s="2895"/>
      <c r="AC57" s="2895"/>
      <c r="AD57" s="2895"/>
      <c r="AE57" s="2895"/>
      <c r="AF57" s="2895"/>
      <c r="AG57" s="2895"/>
      <c r="AH57" s="2895"/>
      <c r="AI57" s="2895"/>
      <c r="AJ57" s="2895"/>
      <c r="AK57" s="2895"/>
      <c r="AQ57" s="1082">
        <v>14</v>
      </c>
    </row>
    <row r="58" spans="1:43" ht="22.5" hidden="1" customHeight="1">
      <c r="A58" s="1087" t="s">
        <v>87</v>
      </c>
      <c r="B58" s="1087">
        <v>0</v>
      </c>
      <c r="C58" s="1087">
        <v>0</v>
      </c>
      <c r="D58" s="1087">
        <v>0</v>
      </c>
      <c r="E58" s="1087">
        <v>0</v>
      </c>
      <c r="F58" s="1087">
        <v>0</v>
      </c>
      <c r="G58" s="1087">
        <v>0</v>
      </c>
      <c r="H58" s="1087">
        <v>0</v>
      </c>
      <c r="I58" s="1087">
        <v>0</v>
      </c>
      <c r="J58" s="1087">
        <v>0</v>
      </c>
      <c r="K58" s="1087">
        <v>0</v>
      </c>
      <c r="L58" s="1405">
        <v>0</v>
      </c>
      <c r="M58" s="1289">
        <v>0</v>
      </c>
      <c r="N58" s="1289">
        <v>0</v>
      </c>
      <c r="O58" s="1289">
        <v>0</v>
      </c>
      <c r="P58" s="1400">
        <v>3</v>
      </c>
      <c r="Q58" s="282">
        <v>3</v>
      </c>
      <c r="R58" s="282">
        <v>3</v>
      </c>
      <c r="S58" s="518">
        <v>12</v>
      </c>
      <c r="T58" s="1082">
        <v>35</v>
      </c>
      <c r="U58" s="1082">
        <v>0</v>
      </c>
      <c r="V58" s="1082">
        <v>0</v>
      </c>
      <c r="W58" s="1082">
        <v>0</v>
      </c>
      <c r="X58" s="1082">
        <v>0</v>
      </c>
      <c r="Y58" s="1082">
        <v>0</v>
      </c>
      <c r="Z58" s="1082">
        <v>0</v>
      </c>
      <c r="AA58" s="1082">
        <v>0</v>
      </c>
      <c r="AB58" s="1082">
        <v>0</v>
      </c>
      <c r="AC58" s="1082">
        <v>24</v>
      </c>
      <c r="AD58" s="1082">
        <v>24</v>
      </c>
      <c r="AE58" s="1082">
        <v>24</v>
      </c>
      <c r="AF58" s="1082">
        <v>11</v>
      </c>
      <c r="AG58" s="1082">
        <v>3</v>
      </c>
      <c r="AH58" s="1082">
        <v>11</v>
      </c>
      <c r="AI58" s="1082">
        <v>0</v>
      </c>
      <c r="AJ58" s="1082">
        <v>4</v>
      </c>
      <c r="AK58" s="1082">
        <v>115</v>
      </c>
      <c r="AL58" s="448">
        <v>10</v>
      </c>
      <c r="AM58" s="448">
        <v>10</v>
      </c>
      <c r="AN58" s="448">
        <v>10</v>
      </c>
      <c r="AO58" s="448">
        <v>10</v>
      </c>
      <c r="AP58" s="448">
        <v>10</v>
      </c>
      <c r="AQ58" s="1082">
        <v>23</v>
      </c>
    </row>
  </sheetData>
  <sheetProtection formatColumns="0" formatRows="0" insertRows="0" deleteColumns="0" deleteRows="0" sort="0" autoFilter="0"/>
  <mergeCells count="101">
    <mergeCell ref="E2:E13"/>
    <mergeCell ref="V2:AB2"/>
    <mergeCell ref="AC2:AJ2"/>
    <mergeCell ref="F3:F12"/>
    <mergeCell ref="V3:AB3"/>
    <mergeCell ref="AC3:AJ3"/>
    <mergeCell ref="G4:G11"/>
    <mergeCell ref="V4:AB4"/>
    <mergeCell ref="AC4:AJ4"/>
    <mergeCell ref="H5:H11"/>
    <mergeCell ref="I5:I10"/>
    <mergeCell ref="P5:P10"/>
    <mergeCell ref="V5:AB5"/>
    <mergeCell ref="AC5:AJ5"/>
    <mergeCell ref="J6:J9"/>
    <mergeCell ref="Q6:Q9"/>
    <mergeCell ref="V6:AB6"/>
    <mergeCell ref="AC6:AJ6"/>
    <mergeCell ref="K7:K8"/>
    <mergeCell ref="Y7:Y8"/>
    <mergeCell ref="AI7:AI8"/>
    <mergeCell ref="AK7:AK8"/>
    <mergeCell ref="AF15:AF16"/>
    <mergeCell ref="AG15:AG16"/>
    <mergeCell ref="AH15:AH16"/>
    <mergeCell ref="AI15:AI16"/>
    <mergeCell ref="Z7:Z8"/>
    <mergeCell ref="AA7:AA8"/>
    <mergeCell ref="AB7:AB8"/>
    <mergeCell ref="AF7:AF8"/>
    <mergeCell ref="AG7:AG8"/>
    <mergeCell ref="AH7:AH8"/>
    <mergeCell ref="S29:T29"/>
    <mergeCell ref="V29:AA29"/>
    <mergeCell ref="AC29:AH29"/>
    <mergeCell ref="S30:T30"/>
    <mergeCell ref="V30:AA30"/>
    <mergeCell ref="AC30:AH30"/>
    <mergeCell ref="S24:AH24"/>
    <mergeCell ref="S25:AH25"/>
    <mergeCell ref="S27:T27"/>
    <mergeCell ref="V27:AA27"/>
    <mergeCell ref="AC27:AH27"/>
    <mergeCell ref="S28:T28"/>
    <mergeCell ref="V28:AA28"/>
    <mergeCell ref="AC28:AH28"/>
    <mergeCell ref="AK36:AK39"/>
    <mergeCell ref="S37:S39"/>
    <mergeCell ref="T37:T39"/>
    <mergeCell ref="V37:AA37"/>
    <mergeCell ref="AB37:AB39"/>
    <mergeCell ref="AC37:AH37"/>
    <mergeCell ref="AI37:AI39"/>
    <mergeCell ref="S32:T32"/>
    <mergeCell ref="V32:AA32"/>
    <mergeCell ref="AC32:AH32"/>
    <mergeCell ref="S33:T33"/>
    <mergeCell ref="V33:AA33"/>
    <mergeCell ref="AC33:AH33"/>
    <mergeCell ref="AJ37:AJ39"/>
    <mergeCell ref="W38:X38"/>
    <mergeCell ref="Y38:AA38"/>
    <mergeCell ref="AD38:AE38"/>
    <mergeCell ref="AF38:AH38"/>
    <mergeCell ref="Z39:AA39"/>
    <mergeCell ref="AG39:AH39"/>
    <mergeCell ref="V35:AB35"/>
    <mergeCell ref="AC35:AI35"/>
    <mergeCell ref="S36:AJ36"/>
    <mergeCell ref="Z40:AA40"/>
    <mergeCell ref="AG40:AH40"/>
    <mergeCell ref="E41:E52"/>
    <mergeCell ref="V41:AB41"/>
    <mergeCell ref="AC41:AJ41"/>
    <mergeCell ref="F42:F51"/>
    <mergeCell ref="V42:AB42"/>
    <mergeCell ref="AC42:AJ42"/>
    <mergeCell ref="G43:G50"/>
    <mergeCell ref="V43:AB43"/>
    <mergeCell ref="AC43:AJ43"/>
    <mergeCell ref="H44:H50"/>
    <mergeCell ref="I44:I49"/>
    <mergeCell ref="P44:P49"/>
    <mergeCell ref="V44:AB44"/>
    <mergeCell ref="AC44:AJ44"/>
    <mergeCell ref="J45:J48"/>
    <mergeCell ref="Q45:Q48"/>
    <mergeCell ref="V45:AB45"/>
    <mergeCell ref="AC45:AJ45"/>
    <mergeCell ref="AG46:AG47"/>
    <mergeCell ref="AH46:AH47"/>
    <mergeCell ref="AI46:AI47"/>
    <mergeCell ref="AK46:AK47"/>
    <mergeCell ref="T55:AK55"/>
    <mergeCell ref="T57:AK57"/>
    <mergeCell ref="K46:K47"/>
    <mergeCell ref="Y46:Y47"/>
    <mergeCell ref="Z46:Z47"/>
    <mergeCell ref="AA46:AA47"/>
    <mergeCell ref="AB46:AB47"/>
    <mergeCell ref="AF46:AF47"/>
  </mergeCells>
  <dataValidations count="8">
    <dataValidation allowBlank="1" promptTitle="checkPeriodRange" sqref="X65579 X131115 X196651 X262187 X327723 X393259 X458795 X524331 X589867 X655403 X720939 X786475 X852011 X917547 X983083 AE16 AE65579 AE131115 AE196651 AE262187 AE327723 AE393259 AE458795 AE524331 AE589867 AE655403 AE720939 AE786475 AE852011 AE917547 AE983083 AE47 AE8 X8 X47"/>
    <dataValidation type="list" allowBlank="1" showInputMessage="1" showErrorMessage="1" errorTitle="Ошибка" error="Выберите значение из списка" sqref="V983080 V65576 V131112 V196648 V262184 V327720 V393256 V458792 V524328 V589864 V655400 V720936 V786472 V852008 V917544 AC983080 AC65576 AC131112 AC196648 AC262184 AC327720 AC393256 AC458792 AC524328 AC589864 AC655400 AC720936 AC786472 AC852008 AC917544">
      <formula1>kind_of_scheme_in</formula1>
    </dataValidation>
    <dataValidation type="textLength" operator="lessThanOrEqual" allowBlank="1" showInputMessage="1" showErrorMessage="1" errorTitle="Ошибка" error="Допускается ввод не более 900 символов!" sqref="AK65572:AK65579 AK131108:AK131115 AK196644:AK196651 AK262180:AK262187 AK327716:AK327723 AK393252:AK393259 AK458788:AK458795 AK524324:AK524331 AK589860:AK589867 AK655396:AK655403 AK720932:AK720939 AK786468:AK786475 AK852004:AK852011 AK917540:AK917547 AK983076:AK983083 T46 T7 AC5:AJ5 AC44:AJ44">
      <formula1>900</formula1>
    </dataValidation>
    <dataValidation type="list" allowBlank="1" showInputMessage="1" showErrorMessage="1" errorTitle="Ошибка" error="Выберите значение из списка" sqref="T65578 T131114 T196650 T262186 T327722 T393258 T458794 T524330 T589866 T655402 T720938 T786474 T852010 T917546 T983082">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Y65578 Y131114 Y196650 Y262186 Y327722 Y393258 Y458794 Y524330 Y589866 Y655402 Y720938 Y786474 Y852010 Y917546 Y983082 AA65578 AA131114 AA196650 AA262186 AA327722 AA393258 AA458794 AA524330 AA589866 AA655402 AA720938 AA786474 AA852010 AA917546 AA983082 AF15 AF65578 AF131114 AF196650 AF262186 AF327722 AF393258 AF458794 AF524330 AF589866 AF655402 AF720938 AF786474 AF852010 AF917546 AF983082 AH65578 AH131114 AH196650 AH262186 AH327722 AH393258 AH458794 AH524330 AH589866 AH655402 AH720938 AH786474 AH852010 AH917546 AH983082 AH46 AF46 AH15 AH7 AF7 Y7 AA7 Y46 AA46"/>
    <dataValidation allowBlank="1" showInputMessage="1" showErrorMessage="1" prompt="Для выбора выполните двойной щелчок левой клавиши мыши по соответствующей ячейке." sqref="Z65578 Z131114 Z196650 Z262186 Z327722 Z393258 Z458794 Z524330 Z589866 Z655402 Z720938 Z786474 Z852010 Z917546 Z983082 AB131114 AB458794 AB196650 AB262186 AB327722 AB393258 AB524330 AB589866 AB655402 AB720938 AB786474 AB852010 AB917546 AB983082 AB65578 AG65578 AG131114 AG196650 AG262186 AG327722 AG393258 AG458794 AG524330 AG589866 AG655402 AG720938 AG786474 AG852010 AG917546 AG983082 AI524330 AI196650 AI589866 AI655402 AI15 AI720938 AI786474 AI852010 AI917546 AI983082 AI65578 AI131114 AI458794 AI262186 AI7 AG46 AI327722 AG15 AG7 Z7 AB7 AI393258 AI46 Z46 AB46"/>
    <dataValidation allowBlank="1" sqref="S131116:AK131122 S196652:AK196658 S262188:AK262194 S327724:AK327730 S393260:AK393266 S458796:AK458802 S524332:AK524338 S589868:AK589874 S655404:AK655410 S720940:AK720946 S786476:AK786482 S852012:AK852018 S917548:AK917554 S983084:AK983090 S65580:AK65586"/>
    <dataValidation type="list" allowBlank="1" showInputMessage="1" errorTitle="Ошибка" error="Выберите значение из списка" prompt="Выберите значение из списка" sqref="V983081:AJ983081 V65577:AJ65577 V131113:AJ131113 V196649:AJ196649 V262185:AJ262185 V327721:AJ327721 V393257:AJ393257 V458793:AJ458793 V524329:AJ524329 V589865:AJ589865 V655401:AJ655401 V720937:AJ720937 V786473:AJ786473 V852009:AJ852009 V917545:AJ917545">
      <formula1>kind_of_cons</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896">
        <v>1</v>
      </c>
      <c r="F2" s="1290"/>
      <c r="G2" s="1290"/>
      <c r="H2" s="1290"/>
      <c r="I2" s="1290"/>
      <c r="J2" s="1290"/>
      <c r="K2" s="1290"/>
      <c r="L2" s="1291"/>
      <c r="M2" s="1292"/>
      <c r="N2" s="1292"/>
      <c r="O2" s="1292"/>
      <c r="P2" s="1336"/>
      <c r="Q2" s="804"/>
      <c r="R2" s="292"/>
      <c r="S2" s="1420" t="e">
        <f>INDEX(PT_DIFFERENTIATION_NUM_NTAR,MATCH(A2,PT_DIFFERENTIATION_NTAR_ID,0))</f>
        <v>#N/A</v>
      </c>
      <c r="T2" s="236" t="s">
        <v>128</v>
      </c>
      <c r="U2" s="238"/>
      <c r="V2" s="2891"/>
      <c r="W2" s="2891"/>
      <c r="X2" s="2891"/>
      <c r="Y2" s="2891"/>
      <c r="Z2" s="2891"/>
      <c r="AA2" s="2891"/>
      <c r="AB2" s="2891"/>
      <c r="AC2" s="2892"/>
      <c r="AD2" s="2890" t="e">
        <f>INDEX(PT_DIFFERENTIATION_NTAR,MATCH(A2,PT_DIFFERENTIATION_NTAR_ID,0))</f>
        <v>#N/A</v>
      </c>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897"/>
      <c r="F3" s="2896">
        <v>1</v>
      </c>
      <c r="G3" s="1290"/>
      <c r="H3" s="1290"/>
      <c r="I3" s="1290"/>
      <c r="J3" s="1290"/>
      <c r="K3" s="1290"/>
      <c r="L3" s="1291"/>
      <c r="M3" s="1292"/>
      <c r="N3" s="1292"/>
      <c r="O3" s="1292"/>
      <c r="P3" s="1337"/>
      <c r="Q3" s="1338"/>
      <c r="R3" s="290"/>
      <c r="S3" s="1420" t="e">
        <f>INDEX(PT_DIFFERENTIATION_NUM_TER,MATCH(B3,PT_DIFFERENTIATION_TER_ID,0))</f>
        <v>#N/A</v>
      </c>
      <c r="T3" s="246" t="s">
        <v>442</v>
      </c>
      <c r="U3" s="238"/>
      <c r="V3" s="2891"/>
      <c r="W3" s="2891"/>
      <c r="X3" s="2891"/>
      <c r="Y3" s="2891"/>
      <c r="Z3" s="2891"/>
      <c r="AA3" s="2891"/>
      <c r="AB3" s="2891"/>
      <c r="AC3" s="2892"/>
      <c r="AD3" s="2890" t="e">
        <f>INDEX(PT_DIFFERENTIATION_TER,MATCH(B3,PT_DIFFERENTIATION_TER_ID,0))</f>
        <v>#N/A</v>
      </c>
      <c r="AE3" s="2891"/>
      <c r="AF3" s="2891"/>
      <c r="AG3" s="2891"/>
      <c r="AH3" s="2891"/>
      <c r="AI3" s="2891"/>
      <c r="AJ3" s="2891"/>
      <c r="AK3" s="2891"/>
      <c r="AL3" s="2891"/>
      <c r="AM3" s="2891"/>
      <c r="AN3" s="2891"/>
      <c r="AO3" s="2891"/>
      <c r="AP3" s="2891"/>
      <c r="AQ3" s="2891"/>
      <c r="AR3" s="2891"/>
      <c r="AS3" s="2891"/>
      <c r="AT3" s="2891"/>
      <c r="AU3" s="2891"/>
      <c r="AV3" s="2891"/>
      <c r="AW3" s="2891"/>
      <c r="AX3" s="2891"/>
      <c r="AY3" s="2891"/>
      <c r="AZ3" s="2891"/>
      <c r="BA3" s="2891"/>
      <c r="BB3" s="2892"/>
      <c r="BC3" s="1185" t="s">
        <v>443</v>
      </c>
      <c r="BE3" s="437"/>
      <c r="BF3" s="437" t="str">
        <f t="shared" si="0"/>
        <v>Территория действия тарифа</v>
      </c>
      <c r="BG3" s="437"/>
      <c r="BH3" s="437"/>
      <c r="BI3" s="1082">
        <v>0</v>
      </c>
    </row>
    <row r="4" spans="1:61" ht="33.75" hidden="1" customHeight="1">
      <c r="A4" s="1290"/>
      <c r="B4" s="1290"/>
      <c r="C4" s="1290"/>
      <c r="D4" s="1290"/>
      <c r="E4" s="2897"/>
      <c r="F4" s="2897"/>
      <c r="G4" s="2896">
        <v>1</v>
      </c>
      <c r="H4" s="1290"/>
      <c r="I4" s="1290"/>
      <c r="J4" s="1290"/>
      <c r="K4" s="1290"/>
      <c r="L4" s="1291"/>
      <c r="M4" s="1292"/>
      <c r="N4" s="1292"/>
      <c r="O4" s="1292"/>
      <c r="P4" s="1339"/>
      <c r="Q4" s="1338"/>
      <c r="R4" s="290"/>
      <c r="S4" s="1420" t="e">
        <f>INDEX(PT_DIFFERENTIATION_NUM_CS,MATCH(C4,PT_DIFFERENTIATION_CS_ID,0))</f>
        <v>#N/A</v>
      </c>
      <c r="T4" s="247" t="s">
        <v>562</v>
      </c>
      <c r="U4" s="238"/>
      <c r="V4" s="2891"/>
      <c r="W4" s="2891"/>
      <c r="X4" s="2891"/>
      <c r="Y4" s="2891"/>
      <c r="Z4" s="2891"/>
      <c r="AA4" s="2891"/>
      <c r="AB4" s="2891"/>
      <c r="AC4" s="2892"/>
      <c r="AD4" s="2890" t="e">
        <f>INDEX(PT_DIFFERENTIATION_CS,MATCH(C4,PT_DIFFERENTIATION_CS_ID,0))</f>
        <v>#N/A</v>
      </c>
      <c r="AE4" s="2891"/>
      <c r="AF4" s="2891"/>
      <c r="AG4" s="2891"/>
      <c r="AH4" s="2891"/>
      <c r="AI4" s="2891"/>
      <c r="AJ4" s="2891"/>
      <c r="AK4" s="2891"/>
      <c r="AL4" s="2891"/>
      <c r="AM4" s="2891"/>
      <c r="AN4" s="2891"/>
      <c r="AO4" s="2891"/>
      <c r="AP4" s="2891"/>
      <c r="AQ4" s="2891"/>
      <c r="AR4" s="2891"/>
      <c r="AS4" s="2891"/>
      <c r="AT4" s="2891"/>
      <c r="AU4" s="2891"/>
      <c r="AV4" s="2891"/>
      <c r="AW4" s="2891"/>
      <c r="AX4" s="2891"/>
      <c r="AY4" s="2891"/>
      <c r="AZ4" s="2891"/>
      <c r="BA4" s="2891"/>
      <c r="BB4" s="2892"/>
      <c r="BC4" s="1185" t="s">
        <v>563</v>
      </c>
      <c r="BE4" s="437"/>
      <c r="BF4" s="437" t="str">
        <f t="shared" si="0"/>
        <v>Наименование централизованной системы водоотведения</v>
      </c>
      <c r="BG4" s="437"/>
      <c r="BH4" s="437"/>
      <c r="BI4" s="1082">
        <v>0</v>
      </c>
    </row>
    <row r="5" spans="1:61" s="1569" customFormat="1" ht="14.25" hidden="1" customHeight="1">
      <c r="A5" s="1270"/>
      <c r="B5" s="1270"/>
      <c r="C5" s="1270"/>
      <c r="D5" s="1270"/>
      <c r="E5" s="2897"/>
      <c r="F5" s="2897"/>
      <c r="G5" s="2897"/>
      <c r="H5" s="2896">
        <v>1</v>
      </c>
      <c r="I5" s="1270"/>
      <c r="J5" s="1270"/>
      <c r="K5" s="1270"/>
      <c r="L5" s="1273"/>
      <c r="M5" s="1242"/>
      <c r="N5" s="1242"/>
      <c r="O5" s="1242"/>
      <c r="P5" s="1424"/>
      <c r="Q5" s="1425"/>
      <c r="R5" s="294"/>
      <c r="S5" s="972"/>
      <c r="T5" s="1426"/>
      <c r="U5" s="1311"/>
      <c r="V5" s="2929"/>
      <c r="W5" s="2929"/>
      <c r="X5" s="2929"/>
      <c r="Y5" s="2929"/>
      <c r="Z5" s="2929"/>
      <c r="AA5" s="2929"/>
      <c r="AB5" s="2929"/>
      <c r="AC5" s="2930"/>
      <c r="AD5" s="2928"/>
      <c r="AE5" s="2929"/>
      <c r="AF5" s="2929"/>
      <c r="AG5" s="2929"/>
      <c r="AH5" s="2929"/>
      <c r="AI5" s="2929"/>
      <c r="AJ5" s="2929"/>
      <c r="AK5" s="2929"/>
      <c r="AL5" s="2929"/>
      <c r="AM5" s="2929"/>
      <c r="AN5" s="2929"/>
      <c r="AO5" s="2929"/>
      <c r="AP5" s="2929"/>
      <c r="AQ5" s="2929"/>
      <c r="AR5" s="2929"/>
      <c r="AS5" s="2929"/>
      <c r="AT5" s="2929"/>
      <c r="AU5" s="2929"/>
      <c r="AV5" s="2929"/>
      <c r="AW5" s="2929"/>
      <c r="AX5" s="2929"/>
      <c r="AY5" s="2929"/>
      <c r="AZ5" s="2929"/>
      <c r="BA5" s="2929"/>
      <c r="BB5" s="2930"/>
      <c r="BC5" s="1312" t="s">
        <v>447</v>
      </c>
      <c r="BE5" s="437"/>
      <c r="BF5" s="437" t="str">
        <f t="shared" si="0"/>
        <v/>
      </c>
      <c r="BG5" s="437"/>
      <c r="BH5" s="437"/>
      <c r="BI5" s="448">
        <v>0</v>
      </c>
    </row>
    <row r="6" spans="1:61" s="1569" customFormat="1" ht="14.25" hidden="1" customHeight="1">
      <c r="A6" s="1270"/>
      <c r="B6" s="1270"/>
      <c r="C6" s="1270"/>
      <c r="D6" s="1270"/>
      <c r="E6" s="2897"/>
      <c r="F6" s="2897"/>
      <c r="G6" s="2897"/>
      <c r="H6" s="2897"/>
      <c r="I6" s="2898" t="str">
        <f>S5&amp;".1"</f>
        <v>.1</v>
      </c>
      <c r="J6" s="1270"/>
      <c r="K6" s="1270"/>
      <c r="L6" s="1273" t="s">
        <v>448</v>
      </c>
      <c r="M6" s="447"/>
      <c r="N6" s="447"/>
      <c r="O6" s="447"/>
      <c r="P6" s="2900">
        <v>1</v>
      </c>
      <c r="Q6" s="1408"/>
      <c r="R6" s="293"/>
      <c r="S6" s="972"/>
      <c r="T6" s="1310"/>
      <c r="U6" s="1311"/>
      <c r="V6" s="2929"/>
      <c r="W6" s="2929"/>
      <c r="X6" s="2929"/>
      <c r="Y6" s="2929"/>
      <c r="Z6" s="2929"/>
      <c r="AA6" s="2929"/>
      <c r="AB6" s="2929"/>
      <c r="AC6" s="2930"/>
      <c r="AD6" s="2928"/>
      <c r="AE6" s="2929"/>
      <c r="AF6" s="2929"/>
      <c r="AG6" s="2929"/>
      <c r="AH6" s="2929"/>
      <c r="AI6" s="2929"/>
      <c r="AJ6" s="2929"/>
      <c r="AK6" s="2929"/>
      <c r="AL6" s="2929"/>
      <c r="AM6" s="2929"/>
      <c r="AN6" s="2929"/>
      <c r="AO6" s="2929"/>
      <c r="AP6" s="2929"/>
      <c r="AQ6" s="2929"/>
      <c r="AR6" s="2929"/>
      <c r="AS6" s="2929"/>
      <c r="AT6" s="2929"/>
      <c r="AU6" s="2929"/>
      <c r="AV6" s="2929"/>
      <c r="AW6" s="2929"/>
      <c r="AX6" s="2929"/>
      <c r="AY6" s="2929"/>
      <c r="AZ6" s="2929"/>
      <c r="BA6" s="2929"/>
      <c r="BB6" s="2930"/>
      <c r="BC6" s="1312"/>
      <c r="BE6" s="437"/>
      <c r="BF6" s="437" t="str">
        <f t="shared" si="0"/>
        <v/>
      </c>
      <c r="BG6" s="437"/>
      <c r="BH6" s="437"/>
      <c r="BI6" s="448">
        <v>0</v>
      </c>
    </row>
    <row r="7" spans="1:61" s="1569" customFormat="1" ht="14.25" hidden="1" customHeight="1">
      <c r="A7" s="1270"/>
      <c r="B7" s="1270"/>
      <c r="C7" s="1270"/>
      <c r="D7" s="1270"/>
      <c r="E7" s="2897"/>
      <c r="F7" s="2897"/>
      <c r="G7" s="2897"/>
      <c r="H7" s="2897"/>
      <c r="I7" s="2899"/>
      <c r="J7" s="2898" t="str">
        <f>S5&amp;".1"</f>
        <v>.1</v>
      </c>
      <c r="K7" s="1270"/>
      <c r="L7" s="1273"/>
      <c r="M7" s="447"/>
      <c r="N7" s="447"/>
      <c r="O7" s="447"/>
      <c r="P7" s="2900"/>
      <c r="Q7" s="2900">
        <v>1</v>
      </c>
      <c r="R7" s="294"/>
      <c r="S7" s="972"/>
      <c r="T7" s="1326"/>
      <c r="U7" s="1311"/>
      <c r="V7" s="2929"/>
      <c r="W7" s="2929"/>
      <c r="X7" s="2929"/>
      <c r="Y7" s="2929"/>
      <c r="Z7" s="2929"/>
      <c r="AA7" s="2929"/>
      <c r="AB7" s="2929"/>
      <c r="AC7" s="2930"/>
      <c r="AD7" s="2928"/>
      <c r="AE7" s="2929"/>
      <c r="AF7" s="2929"/>
      <c r="AG7" s="2929"/>
      <c r="AH7" s="2929"/>
      <c r="AI7" s="2929"/>
      <c r="AJ7" s="2929"/>
      <c r="AK7" s="2929"/>
      <c r="AL7" s="2929"/>
      <c r="AM7" s="2929"/>
      <c r="AN7" s="2929"/>
      <c r="AO7" s="2929"/>
      <c r="AP7" s="2929"/>
      <c r="AQ7" s="2929"/>
      <c r="AR7" s="2929"/>
      <c r="AS7" s="2929"/>
      <c r="AT7" s="2929"/>
      <c r="AU7" s="2929"/>
      <c r="AV7" s="2929"/>
      <c r="AW7" s="2929"/>
      <c r="AX7" s="2929"/>
      <c r="AY7" s="2929"/>
      <c r="AZ7" s="2929"/>
      <c r="BA7" s="2929"/>
      <c r="BB7" s="2930"/>
      <c r="BC7" s="1312"/>
      <c r="BE7" s="437"/>
      <c r="BF7" s="437" t="str">
        <f t="shared" si="0"/>
        <v/>
      </c>
      <c r="BG7" s="437"/>
      <c r="BH7" s="437"/>
      <c r="BI7" s="448">
        <v>0</v>
      </c>
    </row>
    <row r="8" spans="1:61" ht="11.25" hidden="1" customHeight="1">
      <c r="A8" s="1290"/>
      <c r="B8" s="1290"/>
      <c r="C8" s="1290"/>
      <c r="D8" s="1290"/>
      <c r="E8" s="2897"/>
      <c r="F8" s="2897"/>
      <c r="G8" s="2897"/>
      <c r="H8" s="2897"/>
      <c r="I8" s="2899"/>
      <c r="J8" s="2899"/>
      <c r="K8" s="2898" t="e">
        <f>S4&amp;".1"</f>
        <v>#N/A</v>
      </c>
      <c r="L8" s="1291"/>
      <c r="P8" s="2900"/>
      <c r="Q8" s="2900"/>
      <c r="R8" s="2957">
        <v>1</v>
      </c>
      <c r="S8" s="2954" t="e">
        <f>$K8</f>
        <v>#N/A</v>
      </c>
      <c r="T8" s="2974"/>
      <c r="U8" s="238"/>
      <c r="V8" s="688"/>
      <c r="W8" s="1184"/>
      <c r="X8" s="688"/>
      <c r="Y8" s="1184"/>
      <c r="Z8" s="1660"/>
      <c r="AA8" s="1396" t="s">
        <v>71</v>
      </c>
      <c r="AB8" s="1660"/>
      <c r="AC8" s="1396" t="s">
        <v>71</v>
      </c>
      <c r="AD8" s="2821" t="s">
        <v>71</v>
      </c>
      <c r="AE8" s="2950"/>
      <c r="AF8" s="2853">
        <v>1</v>
      </c>
      <c r="AG8" s="2973"/>
      <c r="AH8" s="2768" t="s">
        <v>71</v>
      </c>
      <c r="AI8" s="2950"/>
      <c r="AJ8" s="2853">
        <v>1</v>
      </c>
      <c r="AK8" s="2964" t="s">
        <v>30</v>
      </c>
      <c r="AL8" s="2768" t="s">
        <v>71</v>
      </c>
      <c r="AM8" s="2830"/>
      <c r="AN8" s="2853">
        <v>1</v>
      </c>
      <c r="AO8" s="2977"/>
      <c r="AP8" s="2978" t="s">
        <v>71</v>
      </c>
      <c r="AQ8" s="249"/>
      <c r="AR8" s="1413">
        <v>1</v>
      </c>
      <c r="AS8" s="1419" t="s">
        <v>30</v>
      </c>
      <c r="AT8" s="688"/>
      <c r="AU8" s="1184"/>
      <c r="AV8" s="688"/>
      <c r="AW8" s="1184"/>
      <c r="AX8" s="1660"/>
      <c r="AY8" s="1396" t="s">
        <v>71</v>
      </c>
      <c r="AZ8" s="1660"/>
      <c r="BA8" s="1396" t="s">
        <v>71</v>
      </c>
      <c r="BB8" s="1275"/>
      <c r="BC8" s="2919" t="s">
        <v>547</v>
      </c>
      <c r="BE8" s="437"/>
      <c r="BF8" s="437" t="str">
        <f t="shared" si="0"/>
        <v/>
      </c>
      <c r="BG8" s="437"/>
      <c r="BH8" s="437"/>
      <c r="BI8" s="1082">
        <v>0</v>
      </c>
    </row>
    <row r="9" spans="1:61" ht="11.25" hidden="1" customHeight="1">
      <c r="A9" s="1290"/>
      <c r="B9" s="1290"/>
      <c r="C9" s="1290"/>
      <c r="D9" s="1290"/>
      <c r="E9" s="2897"/>
      <c r="F9" s="2897"/>
      <c r="G9" s="2897"/>
      <c r="H9" s="2897"/>
      <c r="I9" s="2899"/>
      <c r="J9" s="2899"/>
      <c r="K9" s="2898"/>
      <c r="L9" s="1291"/>
      <c r="P9" s="2900"/>
      <c r="Q9" s="2900"/>
      <c r="R9" s="2957"/>
      <c r="S9" s="2955"/>
      <c r="T9" s="2975"/>
      <c r="U9" s="238"/>
      <c r="V9" s="1320"/>
      <c r="W9" s="1423"/>
      <c r="X9" s="1320"/>
      <c r="Y9" s="1423"/>
      <c r="Z9" s="1320"/>
      <c r="AA9" s="1320"/>
      <c r="AB9" s="1320"/>
      <c r="AC9" s="1320"/>
      <c r="AD9" s="2822"/>
      <c r="AE9" s="2950"/>
      <c r="AF9" s="2853"/>
      <c r="AG9" s="2973"/>
      <c r="AH9" s="2768"/>
      <c r="AI9" s="2950"/>
      <c r="AJ9" s="2853"/>
      <c r="AK9" s="2964"/>
      <c r="AL9" s="2768"/>
      <c r="AM9" s="2835"/>
      <c r="AN9" s="2853"/>
      <c r="AO9" s="2977"/>
      <c r="AP9" s="2979"/>
      <c r="AQ9" s="254"/>
      <c r="AR9" s="353"/>
      <c r="AS9" s="353" t="s">
        <v>548</v>
      </c>
      <c r="AT9" s="1320"/>
      <c r="AU9" s="1423"/>
      <c r="AV9" s="1320"/>
      <c r="AW9" s="1423"/>
      <c r="AX9" s="1320"/>
      <c r="AY9" s="1320"/>
      <c r="AZ9" s="1320"/>
      <c r="BA9" s="1320"/>
      <c r="BB9" s="1324"/>
      <c r="BC9" s="2920"/>
      <c r="BE9" s="437"/>
      <c r="BF9" s="437"/>
      <c r="BG9" s="437"/>
      <c r="BH9" s="437"/>
      <c r="BI9" s="1082">
        <v>0</v>
      </c>
    </row>
    <row r="10" spans="1:61" ht="11.25" hidden="1" customHeight="1">
      <c r="A10" s="1290"/>
      <c r="B10" s="1290"/>
      <c r="C10" s="1290"/>
      <c r="D10" s="1290"/>
      <c r="E10" s="2897"/>
      <c r="F10" s="2897"/>
      <c r="G10" s="2897"/>
      <c r="H10" s="2897"/>
      <c r="I10" s="2899"/>
      <c r="J10" s="2899"/>
      <c r="K10" s="2898"/>
      <c r="L10" s="1291"/>
      <c r="P10" s="2900"/>
      <c r="Q10" s="2900"/>
      <c r="R10" s="2957"/>
      <c r="S10" s="2955"/>
      <c r="T10" s="2975"/>
      <c r="U10" s="238"/>
      <c r="V10" s="1320"/>
      <c r="W10" s="1423"/>
      <c r="X10" s="1320"/>
      <c r="Y10" s="1423"/>
      <c r="Z10" s="1320"/>
      <c r="AA10" s="1320"/>
      <c r="AB10" s="1320"/>
      <c r="AC10" s="1320"/>
      <c r="AD10" s="2822"/>
      <c r="AE10" s="2950"/>
      <c r="AF10" s="2853"/>
      <c r="AG10" s="2973"/>
      <c r="AH10" s="2768"/>
      <c r="AI10" s="2950"/>
      <c r="AJ10" s="2853"/>
      <c r="AK10" s="2964"/>
      <c r="AL10" s="2768"/>
      <c r="AM10" s="254"/>
      <c r="AN10" s="1427"/>
      <c r="AO10" s="1427" t="s">
        <v>568</v>
      </c>
      <c r="AP10" s="353"/>
      <c r="AQ10" s="353"/>
      <c r="AR10" s="353"/>
      <c r="AS10" s="1320"/>
      <c r="AT10" s="1320"/>
      <c r="AU10" s="1423"/>
      <c r="AV10" s="1320"/>
      <c r="AW10" s="1423"/>
      <c r="AX10" s="1320"/>
      <c r="AY10" s="1320"/>
      <c r="AZ10" s="1320"/>
      <c r="BA10" s="1320"/>
      <c r="BB10" s="1324"/>
      <c r="BC10" s="2920"/>
      <c r="BE10" s="437"/>
      <c r="BF10" s="437"/>
      <c r="BG10" s="437"/>
      <c r="BH10" s="437"/>
      <c r="BI10" s="1082">
        <v>0</v>
      </c>
    </row>
    <row r="11" spans="1:61" ht="11.25" hidden="1" customHeight="1">
      <c r="A11" s="1290"/>
      <c r="B11" s="1290"/>
      <c r="C11" s="1290"/>
      <c r="D11" s="1290"/>
      <c r="E11" s="2897"/>
      <c r="F11" s="2897"/>
      <c r="G11" s="2897"/>
      <c r="H11" s="2897"/>
      <c r="I11" s="2899"/>
      <c r="J11" s="2899"/>
      <c r="K11" s="2898"/>
      <c r="L11" s="1291"/>
      <c r="P11" s="2900"/>
      <c r="Q11" s="2900"/>
      <c r="R11" s="2957"/>
      <c r="S11" s="2955"/>
      <c r="T11" s="2975"/>
      <c r="U11" s="238"/>
      <c r="V11" s="1320"/>
      <c r="W11" s="1423"/>
      <c r="X11" s="1320"/>
      <c r="Y11" s="1423"/>
      <c r="Z11" s="1320"/>
      <c r="AA11" s="1320"/>
      <c r="AB11" s="1320"/>
      <c r="AC11" s="1320"/>
      <c r="AD11" s="2822"/>
      <c r="AE11" s="2950"/>
      <c r="AF11" s="2853"/>
      <c r="AG11" s="2973"/>
      <c r="AH11" s="2768"/>
      <c r="AI11" s="232"/>
      <c r="AJ11" s="352"/>
      <c r="AK11" s="251" t="s">
        <v>569</v>
      </c>
      <c r="AL11" s="1320"/>
      <c r="AM11" s="1320"/>
      <c r="AN11" s="1320"/>
      <c r="AO11" s="1320"/>
      <c r="AP11" s="1320"/>
      <c r="AQ11" s="1320"/>
      <c r="AR11" s="1320"/>
      <c r="AS11" s="1320"/>
      <c r="AT11" s="1320"/>
      <c r="AU11" s="1423"/>
      <c r="AV11" s="1320"/>
      <c r="AW11" s="1423"/>
      <c r="AX11" s="1320"/>
      <c r="AY11" s="1320"/>
      <c r="AZ11" s="1320"/>
      <c r="BA11" s="1320"/>
      <c r="BB11" s="1324"/>
      <c r="BC11" s="2920"/>
      <c r="BE11" s="437"/>
      <c r="BF11" s="437"/>
      <c r="BG11" s="437"/>
      <c r="BH11" s="437"/>
      <c r="BI11" s="1082">
        <v>0</v>
      </c>
    </row>
    <row r="12" spans="1:61" ht="11.25" hidden="1" customHeight="1">
      <c r="A12" s="1290"/>
      <c r="B12" s="1290"/>
      <c r="C12" s="1290"/>
      <c r="D12" s="1290"/>
      <c r="E12" s="2897"/>
      <c r="F12" s="2897"/>
      <c r="G12" s="2897"/>
      <c r="H12" s="2897"/>
      <c r="I12" s="2899"/>
      <c r="J12" s="2899"/>
      <c r="K12" s="2898"/>
      <c r="L12" s="1291"/>
      <c r="P12" s="2900"/>
      <c r="Q12" s="2900"/>
      <c r="R12" s="2957"/>
      <c r="S12" s="2956"/>
      <c r="T12" s="2976"/>
      <c r="U12" s="238"/>
      <c r="V12" s="1320"/>
      <c r="W12" s="1321" t="str">
        <f>Z8&amp;"-"&amp;AB8</f>
        <v>-</v>
      </c>
      <c r="X12" s="1320"/>
      <c r="Y12" s="1321" t="str">
        <f>AB8&amp;"-"&amp;AD8</f>
        <v>-да</v>
      </c>
      <c r="Z12" s="1320"/>
      <c r="AA12" s="1320"/>
      <c r="AB12" s="1320"/>
      <c r="AC12" s="1320"/>
      <c r="AD12" s="2773"/>
      <c r="AE12" s="250"/>
      <c r="AF12" s="252"/>
      <c r="AG12" s="353" t="s">
        <v>551</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920"/>
      <c r="BE12" s="437"/>
      <c r="BF12" s="437" t="str">
        <f t="shared" ref="BF12:BF18" si="1">IF(T12="","",T12)</f>
        <v/>
      </c>
      <c r="BG12" s="437"/>
      <c r="BH12" s="437"/>
      <c r="BI12" s="1082">
        <v>0</v>
      </c>
    </row>
    <row r="13" spans="1:61" ht="11.25" hidden="1" customHeight="1">
      <c r="A13" s="1290"/>
      <c r="B13" s="1290"/>
      <c r="C13" s="1290"/>
      <c r="D13" s="1290"/>
      <c r="E13" s="2897"/>
      <c r="F13" s="2897"/>
      <c r="G13" s="2897"/>
      <c r="H13" s="2897"/>
      <c r="I13" s="2899"/>
      <c r="J13" s="2898"/>
      <c r="K13" s="1290"/>
      <c r="L13" s="1291"/>
      <c r="P13" s="2900"/>
      <c r="Q13" s="2900"/>
      <c r="R13" s="293"/>
      <c r="S13" s="1205"/>
      <c r="T13" s="225" t="s">
        <v>514</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921"/>
      <c r="BE13" s="437"/>
      <c r="BF13" s="437" t="str">
        <f t="shared" si="1"/>
        <v>Добавить строку</v>
      </c>
      <c r="BG13" s="437"/>
      <c r="BH13" s="437"/>
      <c r="BI13" s="1082">
        <v>0</v>
      </c>
    </row>
    <row r="14" spans="1:61" s="1569" customFormat="1" ht="14.25" hidden="1" customHeight="1">
      <c r="A14" s="1270"/>
      <c r="B14" s="1270"/>
      <c r="C14" s="1270"/>
      <c r="D14" s="1270"/>
      <c r="E14" s="2897"/>
      <c r="F14" s="2897"/>
      <c r="G14" s="2897"/>
      <c r="H14" s="2897"/>
      <c r="I14" s="2898"/>
      <c r="J14" s="1270"/>
      <c r="K14" s="1270"/>
      <c r="L14" s="1273"/>
      <c r="M14" s="447"/>
      <c r="N14" s="447"/>
      <c r="O14" s="447"/>
      <c r="P14" s="290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897"/>
      <c r="F15" s="2897"/>
      <c r="G15" s="2897"/>
      <c r="H15" s="289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897"/>
      <c r="F16" s="2897"/>
      <c r="G16" s="289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897"/>
      <c r="F17" s="2896"/>
      <c r="G17" s="1241"/>
      <c r="H17" s="1241"/>
      <c r="I17" s="1241"/>
      <c r="J17" s="1241"/>
      <c r="K17" s="1241"/>
      <c r="L17" s="1421"/>
      <c r="M17" s="1248"/>
      <c r="N17" s="1248"/>
      <c r="P17" s="1243"/>
      <c r="Q17" s="1244"/>
      <c r="R17" s="1243"/>
      <c r="S17" s="1249"/>
      <c r="T17" s="1252" t="s">
        <v>176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896"/>
      <c r="F18" s="1270"/>
      <c r="G18" s="1270"/>
      <c r="H18" s="1270"/>
      <c r="I18" s="1270"/>
      <c r="J18" s="1270"/>
      <c r="K18" s="1270"/>
      <c r="L18" s="1273"/>
      <c r="M18" s="1248"/>
      <c r="N18" s="1248"/>
      <c r="O18" s="455"/>
      <c r="P18" s="317"/>
      <c r="Q18" s="1271"/>
      <c r="R18" s="317"/>
      <c r="S18" s="1249"/>
      <c r="T18" s="1252" t="s">
        <v>178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71</v>
      </c>
      <c r="AZ20" s="1662"/>
      <c r="BA20" s="1412" t="s">
        <v>71</v>
      </c>
      <c r="BI20" s="1082">
        <v>0</v>
      </c>
    </row>
    <row r="21" spans="1:61" ht="14.25" hidden="1" customHeight="1">
      <c r="BD21" s="433"/>
      <c r="BE21" s="433"/>
      <c r="BF21" s="433"/>
      <c r="BG21" s="433"/>
      <c r="BH21" s="433"/>
      <c r="BI21" s="1082">
        <v>0</v>
      </c>
    </row>
    <row r="22" spans="1:61" ht="14.25" hidden="1" customHeight="1">
      <c r="O22" s="1294" t="s">
        <v>459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460</v>
      </c>
      <c r="P24" s="1435"/>
      <c r="Q24" s="1437"/>
      <c r="R24" s="1437"/>
      <c r="AA24" s="1434" t="s">
        <v>462</v>
      </c>
      <c r="AC24" s="1434" t="s">
        <v>463</v>
      </c>
      <c r="AD24" s="1434" t="s">
        <v>515</v>
      </c>
      <c r="AH24" s="1434" t="s">
        <v>515</v>
      </c>
      <c r="AK24" s="1434" t="s">
        <v>552</v>
      </c>
      <c r="AL24" s="1434" t="s">
        <v>515</v>
      </c>
      <c r="AP24" s="1434" t="s">
        <v>515</v>
      </c>
      <c r="AY24" s="1434" t="s">
        <v>462</v>
      </c>
      <c r="BA24" s="1434" t="s">
        <v>463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5" customHeight="1">
      <c r="Q28" s="229"/>
      <c r="R28" s="313"/>
      <c r="S28" s="2877" t="str">
        <f>IF(TEMPLATE_GROUP="P",PT_P_FORM_VOTV_5_NAME_FORM,PT_R_FORM_VOTV_17_NAME_FORM)</f>
        <v>Форма 14. Информация о предложении организации водоотведения расчетной величины тарифов на подключение к централизованной системе водоотведения</v>
      </c>
      <c r="T28" s="2877"/>
      <c r="U28" s="2877"/>
      <c r="V28" s="2877"/>
      <c r="W28" s="2877"/>
      <c r="X28" s="2877"/>
      <c r="Y28" s="2877"/>
      <c r="Z28" s="2877"/>
      <c r="AA28" s="2877"/>
      <c r="AB28" s="2877"/>
      <c r="AC28" s="2877"/>
      <c r="AD28" s="2877"/>
      <c r="AE28" s="2877"/>
      <c r="AF28" s="2877"/>
      <c r="AG28" s="2877"/>
      <c r="AH28" s="2877"/>
      <c r="AI28" s="2877"/>
      <c r="AJ28" s="2877"/>
      <c r="AK28" s="2877"/>
      <c r="AL28" s="2877"/>
      <c r="AM28" s="2877"/>
      <c r="AN28" s="2877"/>
      <c r="AO28" s="2877"/>
      <c r="AP28" s="2877"/>
      <c r="AQ28" s="2877"/>
      <c r="AR28" s="2877"/>
      <c r="AS28" s="2877"/>
      <c r="AT28" s="2877"/>
      <c r="AU28" s="2877"/>
      <c r="AV28" s="2877"/>
      <c r="AW28" s="2877"/>
      <c r="AX28" s="2877"/>
      <c r="AY28" s="2877"/>
      <c r="AZ28" s="2877"/>
      <c r="BA28" s="1170"/>
      <c r="BI28" s="1082">
        <v>14</v>
      </c>
    </row>
    <row r="29" spans="1:61" ht="15" customHeight="1">
      <c r="Q29" s="229"/>
      <c r="R29" s="313"/>
      <c r="S29" s="2849" t="str">
        <f>IF(org=0,"Не определено",org)</f>
        <v>ТМУП "ТТС"</v>
      </c>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2849"/>
      <c r="AT29" s="2849"/>
      <c r="AU29" s="2849"/>
      <c r="AV29" s="2849"/>
      <c r="AW29" s="2849"/>
      <c r="AX29" s="2849"/>
      <c r="AY29" s="2849"/>
      <c r="AZ29" s="2849"/>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887" t="s">
        <v>46</v>
      </c>
      <c r="T31" s="2887"/>
      <c r="U31" s="1299"/>
      <c r="V31" s="2889" t="str">
        <f>IF(TITLE_NAME_OR_PR_CHANGE="",IF(TITLE_NAME_OR_PR="","",TITLE_NAME_OR_PR),TITLE_NAME_OR_PR_CHANGE)</f>
        <v/>
      </c>
      <c r="W31" s="2889"/>
      <c r="X31" s="2889"/>
      <c r="Y31" s="2889"/>
      <c r="Z31" s="2889"/>
      <c r="AA31" s="2889"/>
      <c r="AB31" s="2889"/>
      <c r="AC31" s="264"/>
      <c r="AD31" s="2889" t="str">
        <f>IF(TITLE_NAME_OR_PR_CHANGE="",IF(TITLE_NAME_OR_PR="","",TITLE_NAME_OR_PR),TITLE_NAME_OR_PR_CHANGE)</f>
        <v/>
      </c>
      <c r="AE31" s="2889"/>
      <c r="AF31" s="2889"/>
      <c r="AG31" s="2889"/>
      <c r="AH31" s="2889"/>
      <c r="AI31" s="2889"/>
      <c r="AJ31" s="2889"/>
      <c r="AK31" s="2889"/>
      <c r="AL31" s="2889"/>
      <c r="AM31" s="2889"/>
      <c r="AN31" s="2889"/>
      <c r="AO31" s="2889"/>
      <c r="AP31" s="2889"/>
      <c r="AQ31" s="2889"/>
      <c r="AR31" s="2889"/>
      <c r="AS31" s="2889"/>
      <c r="AT31" s="2889"/>
      <c r="AU31" s="2889"/>
      <c r="AV31" s="2889"/>
      <c r="AW31" s="2889"/>
      <c r="AX31" s="2889"/>
      <c r="AY31" s="2889"/>
      <c r="AZ31" s="2889"/>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887" t="s">
        <v>465</v>
      </c>
      <c r="T32" s="2887"/>
      <c r="U32" s="1299"/>
      <c r="V32" s="2888" t="str">
        <f>IF(TITLE_DATE_PR_CHANGE="",IF(TITLE_DATE_PR="","",TITLE_DATE_PR),TITLE_DATE_PR_CHANGE)</f>
        <v>14.11.2024</v>
      </c>
      <c r="W32" s="2888"/>
      <c r="X32" s="2888"/>
      <c r="Y32" s="2888"/>
      <c r="Z32" s="2888"/>
      <c r="AA32" s="2888"/>
      <c r="AB32" s="2888"/>
      <c r="AC32" s="264"/>
      <c r="AD32" s="2888" t="str">
        <f>IF(TITLE_DATE_PR_CHANGE="",IF(TITLE_DATE_PR="","",TITLE_DATE_PR),TITLE_DATE_PR_CHANGE)</f>
        <v>14.11.2024</v>
      </c>
      <c r="AE32" s="2888"/>
      <c r="AF32" s="2888"/>
      <c r="AG32" s="2888"/>
      <c r="AH32" s="2888"/>
      <c r="AI32" s="2888"/>
      <c r="AJ32" s="2888"/>
      <c r="AK32" s="2888"/>
      <c r="AL32" s="2888"/>
      <c r="AM32" s="2888"/>
      <c r="AN32" s="2888"/>
      <c r="AO32" s="2888"/>
      <c r="AP32" s="2888"/>
      <c r="AQ32" s="2888"/>
      <c r="AR32" s="2888"/>
      <c r="AS32" s="2888"/>
      <c r="AT32" s="2888"/>
      <c r="AU32" s="2888"/>
      <c r="AV32" s="2888"/>
      <c r="AW32" s="2888"/>
      <c r="AX32" s="2888"/>
      <c r="AY32" s="2888"/>
      <c r="AZ32" s="2888"/>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887" t="s">
        <v>466</v>
      </c>
      <c r="T33" s="2887"/>
      <c r="U33" s="1299"/>
      <c r="V33" s="2889" t="str">
        <f>IF(TITLE_NUMBER_PR_CHANGE="",IF(TITLE_NUMBER_PR="","",TITLE_NUMBER_PR),TITLE_NUMBER_PR_CHANGE)</f>
        <v>947 от 12.11.2024</v>
      </c>
      <c r="W33" s="2889"/>
      <c r="X33" s="2889"/>
      <c r="Y33" s="2889"/>
      <c r="Z33" s="2889"/>
      <c r="AA33" s="2889"/>
      <c r="AB33" s="2889"/>
      <c r="AC33" s="264"/>
      <c r="AD33" s="2889" t="str">
        <f>IF(TITLE_NUMBER_PR_CHANGE="",IF(TITLE_NUMBER_PR="","",TITLE_NUMBER_PR),TITLE_NUMBER_PR_CHANGE)</f>
        <v>947 от 12.11.2024</v>
      </c>
      <c r="AE33" s="2889"/>
      <c r="AF33" s="2889"/>
      <c r="AG33" s="2889"/>
      <c r="AH33" s="2889"/>
      <c r="AI33" s="2889"/>
      <c r="AJ33" s="2889"/>
      <c r="AK33" s="2889"/>
      <c r="AL33" s="2889"/>
      <c r="AM33" s="2889"/>
      <c r="AN33" s="2889"/>
      <c r="AO33" s="2889"/>
      <c r="AP33" s="2889"/>
      <c r="AQ33" s="2889"/>
      <c r="AR33" s="2889"/>
      <c r="AS33" s="2889"/>
      <c r="AT33" s="2889"/>
      <c r="AU33" s="2889"/>
      <c r="AV33" s="2889"/>
      <c r="AW33" s="2889"/>
      <c r="AX33" s="2889"/>
      <c r="AY33" s="2889"/>
      <c r="AZ33" s="2889"/>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887" t="s">
        <v>47</v>
      </c>
      <c r="T34" s="2887"/>
      <c r="U34" s="1299"/>
      <c r="V34" s="2889" t="str">
        <f>IF(TITLE_IST_PUB_CHANGE="",IF(TITLE_IST_PUB="","",TITLE_IST_PUB),TITLE_IST_PUB_CHANGE)</f>
        <v/>
      </c>
      <c r="W34" s="2889"/>
      <c r="X34" s="2889"/>
      <c r="Y34" s="2889"/>
      <c r="Z34" s="2889"/>
      <c r="AA34" s="2889"/>
      <c r="AB34" s="2889"/>
      <c r="AC34" s="264"/>
      <c r="AD34" s="2889" t="str">
        <f>IF(TITLE_IST_PUB_CHANGE="",IF(TITLE_IST_PUB="","",TITLE_IST_PUB),TITLE_IST_PUB_CHANGE)</f>
        <v/>
      </c>
      <c r="AE34" s="2889"/>
      <c r="AF34" s="2889"/>
      <c r="AG34" s="2889"/>
      <c r="AH34" s="2889"/>
      <c r="AI34" s="2889"/>
      <c r="AJ34" s="2889"/>
      <c r="AK34" s="2889"/>
      <c r="AL34" s="2889"/>
      <c r="AM34" s="2889"/>
      <c r="AN34" s="2889"/>
      <c r="AO34" s="2889"/>
      <c r="AP34" s="2889"/>
      <c r="AQ34" s="2889"/>
      <c r="AR34" s="2889"/>
      <c r="AS34" s="2889"/>
      <c r="AT34" s="2889"/>
      <c r="AU34" s="2889"/>
      <c r="AV34" s="2889"/>
      <c r="AW34" s="2889"/>
      <c r="AX34" s="2889"/>
      <c r="AY34" s="2889"/>
      <c r="AZ34" s="2889"/>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887" t="s">
        <v>465</v>
      </c>
      <c r="T36" s="2887"/>
      <c r="U36" s="1299"/>
      <c r="V36" s="2888" t="str">
        <f>IF(TITLE_DATE_PR_CHANGE="",IF(TITLE_DATE_PR="","",TITLE_DATE_PR),TITLE_DATE_PR_CHANGE)</f>
        <v>14.11.2024</v>
      </c>
      <c r="W36" s="2888"/>
      <c r="X36" s="2888"/>
      <c r="Y36" s="2888"/>
      <c r="Z36" s="2888"/>
      <c r="AA36" s="2888"/>
      <c r="AB36" s="2888"/>
      <c r="AC36" s="264"/>
      <c r="AD36" s="2888" t="str">
        <f>IF(TITLE_DATE_PR_CHANGE="",IF(TITLE_DATE_PR="","",TITLE_DATE_PR),TITLE_DATE_PR_CHANGE)</f>
        <v>14.11.2024</v>
      </c>
      <c r="AE36" s="2888"/>
      <c r="AF36" s="2888"/>
      <c r="AG36" s="2888"/>
      <c r="AH36" s="2888"/>
      <c r="AI36" s="2888"/>
      <c r="AJ36" s="2888"/>
      <c r="AK36" s="2888"/>
      <c r="AL36" s="2888"/>
      <c r="AM36" s="2888"/>
      <c r="AN36" s="2888"/>
      <c r="AO36" s="2888"/>
      <c r="AP36" s="2888"/>
      <c r="AQ36" s="2888"/>
      <c r="AR36" s="2888"/>
      <c r="AS36" s="2888"/>
      <c r="AT36" s="2888"/>
      <c r="AU36" s="2888"/>
      <c r="AV36" s="2888"/>
      <c r="AW36" s="2888"/>
      <c r="AX36" s="2888"/>
      <c r="AY36" s="2888"/>
      <c r="AZ36" s="2888"/>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887" t="s">
        <v>466</v>
      </c>
      <c r="T37" s="2887"/>
      <c r="U37" s="1299"/>
      <c r="V37" s="2889" t="str">
        <f>IF(TITLE_NUMBER_PR_CHANGE="",IF(TITLE_NUMBER_PR="","",TITLE_NUMBER_PR),TITLE_NUMBER_PR_CHANGE)</f>
        <v>947 от 12.11.2024</v>
      </c>
      <c r="W37" s="2889"/>
      <c r="X37" s="2889"/>
      <c r="Y37" s="2889"/>
      <c r="Z37" s="2889"/>
      <c r="AA37" s="2889"/>
      <c r="AB37" s="2889"/>
      <c r="AC37" s="264"/>
      <c r="AD37" s="2889" t="str">
        <f>IF(TITLE_NUMBER_PR_CHANGE="",IF(TITLE_NUMBER_PR="","",TITLE_NUMBER_PR),TITLE_NUMBER_PR_CHANGE)</f>
        <v>947 от 12.11.2024</v>
      </c>
      <c r="AE37" s="2889"/>
      <c r="AF37" s="2889"/>
      <c r="AG37" s="2889"/>
      <c r="AH37" s="2889"/>
      <c r="AI37" s="2889"/>
      <c r="AJ37" s="2889"/>
      <c r="AK37" s="2889"/>
      <c r="AL37" s="2889"/>
      <c r="AM37" s="2889"/>
      <c r="AN37" s="2889"/>
      <c r="AO37" s="2889"/>
      <c r="AP37" s="2889"/>
      <c r="AQ37" s="2889"/>
      <c r="AR37" s="2889"/>
      <c r="AS37" s="2889"/>
      <c r="AT37" s="2889"/>
      <c r="AU37" s="2889"/>
      <c r="AV37" s="2889"/>
      <c r="AW37" s="2889"/>
      <c r="AX37" s="2889"/>
      <c r="AY37" s="2889"/>
      <c r="AZ37" s="288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469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469</v>
      </c>
      <c r="BD38" s="305"/>
      <c r="BE38" s="305"/>
      <c r="BF38" s="305"/>
      <c r="BG38" s="305"/>
      <c r="BH38" s="305"/>
      <c r="BI38" s="355">
        <v>0</v>
      </c>
    </row>
    <row r="39" spans="1:61" ht="15" customHeight="1">
      <c r="Q39" s="229"/>
      <c r="R39" s="313"/>
      <c r="S39" s="1202"/>
      <c r="T39" s="300"/>
      <c r="U39" s="1171"/>
      <c r="V39" s="2908"/>
      <c r="W39" s="2908"/>
      <c r="X39" s="2908"/>
      <c r="Y39" s="2908"/>
      <c r="Z39" s="2908"/>
      <c r="AA39" s="2908"/>
      <c r="AB39" s="2908"/>
      <c r="AC39" s="2908"/>
      <c r="AD39" s="2908"/>
      <c r="AE39" s="2908"/>
      <c r="AF39" s="2908"/>
      <c r="AG39" s="2908"/>
      <c r="AH39" s="2908"/>
      <c r="AI39" s="2908"/>
      <c r="AJ39" s="2908"/>
      <c r="AK39" s="2908"/>
      <c r="AL39" s="2908"/>
      <c r="AM39" s="2908"/>
      <c r="AN39" s="2908"/>
      <c r="AO39" s="2908"/>
      <c r="AP39" s="2908"/>
      <c r="AQ39" s="2908"/>
      <c r="AR39" s="2908"/>
      <c r="AS39" s="2908"/>
      <c r="AT39" s="2908"/>
      <c r="AU39" s="2908"/>
      <c r="AV39" s="2908"/>
      <c r="AW39" s="2908"/>
      <c r="AX39" s="2908"/>
      <c r="AY39" s="2908"/>
      <c r="AZ39" s="2908"/>
      <c r="BA39" s="2908"/>
      <c r="BI39" s="1082">
        <v>14</v>
      </c>
    </row>
    <row r="40" spans="1:61" ht="15" customHeight="1">
      <c r="Q40" s="229"/>
      <c r="R40" s="313"/>
      <c r="S40" s="2758" t="s">
        <v>345</v>
      </c>
      <c r="T40" s="2758"/>
      <c r="U40" s="2758"/>
      <c r="V40" s="2758"/>
      <c r="W40" s="2758"/>
      <c r="X40" s="2758"/>
      <c r="Y40" s="2758"/>
      <c r="Z40" s="2758"/>
      <c r="AA40" s="2758"/>
      <c r="AB40" s="2758"/>
      <c r="AC40" s="2758"/>
      <c r="AD40" s="2758"/>
      <c r="AE40" s="2758"/>
      <c r="AF40" s="2758"/>
      <c r="AG40" s="2758"/>
      <c r="AH40" s="2758"/>
      <c r="AI40" s="2758"/>
      <c r="AJ40" s="2758"/>
      <c r="AK40" s="2758"/>
      <c r="AL40" s="2758"/>
      <c r="AM40" s="2758"/>
      <c r="AN40" s="2758"/>
      <c r="AO40" s="2758"/>
      <c r="AP40" s="2758"/>
      <c r="AQ40" s="2758"/>
      <c r="AR40" s="2758"/>
      <c r="AS40" s="2758"/>
      <c r="AT40" s="2758"/>
      <c r="AU40" s="2758"/>
      <c r="AV40" s="2758"/>
      <c r="AW40" s="2758"/>
      <c r="AX40" s="2758"/>
      <c r="AY40" s="2758"/>
      <c r="AZ40" s="2758"/>
      <c r="BA40" s="2758"/>
      <c r="BB40" s="2758"/>
      <c r="BC40" s="2758" t="s">
        <v>346</v>
      </c>
      <c r="BI40" s="1082">
        <v>14</v>
      </c>
    </row>
    <row r="41" spans="1:61" ht="15" customHeight="1">
      <c r="Q41" s="229"/>
      <c r="R41" s="313"/>
      <c r="S41" s="2909" t="s">
        <v>93</v>
      </c>
      <c r="T41" s="2857" t="s">
        <v>553</v>
      </c>
      <c r="U41" s="239"/>
      <c r="V41" s="2910" t="s">
        <v>471</v>
      </c>
      <c r="W41" s="2911"/>
      <c r="X41" s="2911"/>
      <c r="Y41" s="2911"/>
      <c r="Z41" s="2911"/>
      <c r="AA41" s="2911"/>
      <c r="AB41" s="2912"/>
      <c r="AC41" s="2913" t="s">
        <v>472</v>
      </c>
      <c r="AD41" s="2943" t="s">
        <v>570</v>
      </c>
      <c r="AE41" s="2927"/>
      <c r="AF41" s="2927"/>
      <c r="AG41" s="2944"/>
      <c r="AH41" s="2943" t="s">
        <v>571</v>
      </c>
      <c r="AI41" s="2927"/>
      <c r="AJ41" s="2927"/>
      <c r="AK41" s="2944"/>
      <c r="AL41" s="2943" t="s">
        <v>572</v>
      </c>
      <c r="AM41" s="2927"/>
      <c r="AN41" s="2927"/>
      <c r="AO41" s="2944"/>
      <c r="AP41" s="2943" t="s">
        <v>557</v>
      </c>
      <c r="AQ41" s="2927"/>
      <c r="AR41" s="2927"/>
      <c r="AS41" s="2944"/>
      <c r="AT41" s="2910" t="s">
        <v>471</v>
      </c>
      <c r="AU41" s="2911"/>
      <c r="AV41" s="2911"/>
      <c r="AW41" s="2911"/>
      <c r="AX41" s="2911"/>
      <c r="AY41" s="2911"/>
      <c r="AZ41" s="2912"/>
      <c r="BA41" s="2913" t="s">
        <v>472</v>
      </c>
      <c r="BB41" s="2916" t="s">
        <v>474</v>
      </c>
      <c r="BC41" s="2758"/>
      <c r="BI41" s="1082">
        <v>14</v>
      </c>
    </row>
    <row r="42" spans="1:61" ht="36" customHeight="1">
      <c r="Q42" s="229"/>
      <c r="R42" s="313"/>
      <c r="S42" s="2909"/>
      <c r="T42" s="2857"/>
      <c r="U42" s="961"/>
      <c r="V42" s="2830" t="s">
        <v>558</v>
      </c>
      <c r="W42" s="2831"/>
      <c r="X42" s="2830" t="s">
        <v>559</v>
      </c>
      <c r="Y42" s="2831"/>
      <c r="Z42" s="2830" t="s">
        <v>560</v>
      </c>
      <c r="AA42" s="2939"/>
      <c r="AB42" s="2831"/>
      <c r="AC42" s="2914"/>
      <c r="AD42" s="2945"/>
      <c r="AE42" s="2946"/>
      <c r="AF42" s="2946"/>
      <c r="AG42" s="2958"/>
      <c r="AH42" s="2945"/>
      <c r="AI42" s="2946"/>
      <c r="AJ42" s="2946"/>
      <c r="AK42" s="2958"/>
      <c r="AL42" s="2945"/>
      <c r="AM42" s="2946"/>
      <c r="AN42" s="2946"/>
      <c r="AO42" s="2958"/>
      <c r="AP42" s="2945"/>
      <c r="AQ42" s="2946"/>
      <c r="AR42" s="2946"/>
      <c r="AS42" s="2958"/>
      <c r="AT42" s="2830" t="s">
        <v>573</v>
      </c>
      <c r="AU42" s="2831"/>
      <c r="AV42" s="2830" t="s">
        <v>574</v>
      </c>
      <c r="AW42" s="2831"/>
      <c r="AX42" s="2830" t="s">
        <v>560</v>
      </c>
      <c r="AY42" s="2939"/>
      <c r="AZ42" s="2831"/>
      <c r="BA42" s="2914"/>
      <c r="BB42" s="2917"/>
      <c r="BC42" s="2758"/>
      <c r="BI42" s="1082">
        <v>34</v>
      </c>
    </row>
    <row r="43" spans="1:61" ht="15" customHeight="1">
      <c r="Q43" s="229"/>
      <c r="R43" s="313"/>
      <c r="S43" s="2909"/>
      <c r="T43" s="2857"/>
      <c r="U43" s="961"/>
      <c r="V43" s="2835"/>
      <c r="W43" s="2836"/>
      <c r="X43" s="2835"/>
      <c r="Y43" s="2836"/>
      <c r="Z43" s="2835"/>
      <c r="AA43" s="2940"/>
      <c r="AB43" s="2836"/>
      <c r="AC43" s="2914"/>
      <c r="AD43" s="2945"/>
      <c r="AE43" s="2946"/>
      <c r="AF43" s="2946"/>
      <c r="AG43" s="2958"/>
      <c r="AH43" s="2945"/>
      <c r="AI43" s="2946"/>
      <c r="AJ43" s="2946"/>
      <c r="AK43" s="2958"/>
      <c r="AL43" s="2945"/>
      <c r="AM43" s="2946"/>
      <c r="AN43" s="2946"/>
      <c r="AO43" s="2958"/>
      <c r="AP43" s="2945"/>
      <c r="AQ43" s="2946"/>
      <c r="AR43" s="2946"/>
      <c r="AS43" s="2958"/>
      <c r="AT43" s="2835"/>
      <c r="AU43" s="2836"/>
      <c r="AV43" s="2835"/>
      <c r="AW43" s="2836"/>
      <c r="AX43" s="2835"/>
      <c r="AY43" s="2940"/>
      <c r="AZ43" s="2836"/>
      <c r="BA43" s="2914"/>
      <c r="BB43" s="2917"/>
      <c r="BC43" s="2758"/>
      <c r="BI43" s="1082">
        <v>14</v>
      </c>
    </row>
    <row r="44" spans="1:61" ht="15" customHeight="1">
      <c r="A44" s="1297"/>
      <c r="B44" s="1297" t="s">
        <v>140</v>
      </c>
      <c r="C44" s="1297" t="s">
        <v>141</v>
      </c>
      <c r="D44" s="1297" t="s">
        <v>142</v>
      </c>
      <c r="E44" s="1291" t="s">
        <v>479</v>
      </c>
      <c r="F44" s="1291" t="s">
        <v>480</v>
      </c>
      <c r="G44" s="1291" t="s">
        <v>481</v>
      </c>
      <c r="H44" s="1291" t="s">
        <v>482</v>
      </c>
      <c r="I44" s="1291" t="s">
        <v>483</v>
      </c>
      <c r="J44" s="1291" t="s">
        <v>484</v>
      </c>
      <c r="K44" s="1291" t="s">
        <v>485</v>
      </c>
      <c r="L44" s="1291" t="s">
        <v>460</v>
      </c>
      <c r="Q44" s="229"/>
      <c r="R44" s="313"/>
      <c r="S44" s="2909"/>
      <c r="T44" s="2857"/>
      <c r="U44" s="240"/>
      <c r="V44" s="1406" t="s">
        <v>524</v>
      </c>
      <c r="W44" s="1406" t="s">
        <v>525</v>
      </c>
      <c r="X44" s="1406" t="s">
        <v>524</v>
      </c>
      <c r="Y44" s="1406" t="s">
        <v>525</v>
      </c>
      <c r="Z44" s="1416" t="s">
        <v>488</v>
      </c>
      <c r="AA44" s="2862" t="s">
        <v>489</v>
      </c>
      <c r="AB44" s="2876"/>
      <c r="AC44" s="2915"/>
      <c r="AD44" s="2947"/>
      <c r="AE44" s="2948"/>
      <c r="AF44" s="2948"/>
      <c r="AG44" s="2949"/>
      <c r="AH44" s="2947"/>
      <c r="AI44" s="2948"/>
      <c r="AJ44" s="2948"/>
      <c r="AK44" s="2949"/>
      <c r="AL44" s="2947"/>
      <c r="AM44" s="2948"/>
      <c r="AN44" s="2948"/>
      <c r="AO44" s="2949"/>
      <c r="AP44" s="2947"/>
      <c r="AQ44" s="2948"/>
      <c r="AR44" s="2948"/>
      <c r="AS44" s="2949"/>
      <c r="AT44" s="1406" t="s">
        <v>524</v>
      </c>
      <c r="AU44" s="1406" t="s">
        <v>525</v>
      </c>
      <c r="AV44" s="1406" t="s">
        <v>524</v>
      </c>
      <c r="AW44" s="1406" t="s">
        <v>525</v>
      </c>
      <c r="AX44" s="1416" t="s">
        <v>488</v>
      </c>
      <c r="AY44" s="2862" t="s">
        <v>489</v>
      </c>
      <c r="AZ44" s="2876"/>
      <c r="BA44" s="2915"/>
      <c r="BB44" s="2918"/>
      <c r="BC44" s="2758"/>
      <c r="BI44" s="1082">
        <v>14</v>
      </c>
    </row>
    <row r="45" spans="1:61" s="1568" customFormat="1" ht="11.25"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114</v>
      </c>
      <c r="T45" s="1182" t="s">
        <v>115</v>
      </c>
      <c r="U45" s="1172" t="str">
        <f ca="1">OFFSET(U45,0,-1)</f>
        <v>2</v>
      </c>
      <c r="V45" s="1409">
        <f t="shared" ref="V45:AA45" ca="1" si="2">OFFSET(V45,0,-1)+1</f>
        <v>3</v>
      </c>
      <c r="W45" s="1409">
        <f t="shared" ca="1" si="2"/>
        <v>4</v>
      </c>
      <c r="X45" s="1409">
        <f t="shared" ca="1" si="2"/>
        <v>5</v>
      </c>
      <c r="Y45" s="1409">
        <f t="shared" ca="1" si="2"/>
        <v>6</v>
      </c>
      <c r="Z45" s="1409">
        <f t="shared" ca="1" si="2"/>
        <v>7</v>
      </c>
      <c r="AA45" s="2907">
        <f t="shared" ca="1" si="2"/>
        <v>8</v>
      </c>
      <c r="AB45" s="290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907">
        <f ca="1">OFFSET(AY45,0,-1)+1</f>
        <v>3</v>
      </c>
      <c r="AZ45" s="2907"/>
      <c r="BA45" s="1409">
        <f ca="1">OFFSET(BA45,0,-2)+1</f>
        <v>4</v>
      </c>
      <c r="BB45" s="1172">
        <f ca="1">OFFSET(BB45,0,-1)</f>
        <v>4</v>
      </c>
      <c r="BC45" s="1409">
        <f ca="1">OFFSET(BC45,0,-1)+1</f>
        <v>5</v>
      </c>
      <c r="BD45" s="448"/>
      <c r="BE45" s="448"/>
      <c r="BF45" s="448"/>
      <c r="BG45" s="448"/>
      <c r="BH45" s="448"/>
      <c r="BI45" s="433">
        <v>0</v>
      </c>
    </row>
    <row r="46" spans="1:61" ht="21.75" customHeight="1">
      <c r="A46" s="1290" t="s">
        <v>321</v>
      </c>
      <c r="B46" s="1290"/>
      <c r="C46" s="1290"/>
      <c r="D46" s="1290"/>
      <c r="E46" s="289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128</v>
      </c>
      <c r="U46" s="238"/>
      <c r="V46" s="2891"/>
      <c r="W46" s="2891"/>
      <c r="X46" s="2891"/>
      <c r="Y46" s="2891"/>
      <c r="Z46" s="2891"/>
      <c r="AA46" s="2891"/>
      <c r="AB46" s="2891"/>
      <c r="AC46" s="2892"/>
      <c r="AD46" s="2890" t="str">
        <f>INDEX(PT_DIFFERENTIATION_NTAR,MATCH(A46,PT_DIFFERENTIATION_NTAR_ID,0))</f>
        <v/>
      </c>
      <c r="AE46" s="2891"/>
      <c r="AF46" s="2891"/>
      <c r="AG46" s="2891"/>
      <c r="AH46" s="2891"/>
      <c r="AI46" s="2891"/>
      <c r="AJ46" s="2891"/>
      <c r="AK46" s="2891"/>
      <c r="AL46" s="2891"/>
      <c r="AM46" s="2891"/>
      <c r="AN46" s="2891"/>
      <c r="AO46" s="2891"/>
      <c r="AP46" s="2891"/>
      <c r="AQ46" s="2891"/>
      <c r="AR46" s="2891"/>
      <c r="AS46" s="2891"/>
      <c r="AT46" s="2891"/>
      <c r="AU46" s="2891"/>
      <c r="AV46" s="2891"/>
      <c r="AW46" s="2891"/>
      <c r="AX46" s="2891"/>
      <c r="AY46" s="2891"/>
      <c r="AZ46" s="2891"/>
      <c r="BA46" s="2891"/>
      <c r="BB46" s="289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75" customHeight="1">
      <c r="A47" s="1290" t="s">
        <v>321</v>
      </c>
      <c r="B47" s="1290" t="s">
        <v>322</v>
      </c>
      <c r="C47" s="1290"/>
      <c r="D47" s="1290"/>
      <c r="E47" s="2897"/>
      <c r="F47" s="2896">
        <v>1</v>
      </c>
      <c r="G47" s="1290"/>
      <c r="H47" s="1290"/>
      <c r="I47" s="1290"/>
      <c r="J47" s="1290"/>
      <c r="K47" s="1290"/>
      <c r="L47" s="1291"/>
      <c r="M47" s="1292"/>
      <c r="N47" s="1292"/>
      <c r="O47" s="1292"/>
      <c r="P47" s="1337"/>
      <c r="Q47" s="1338"/>
      <c r="R47" s="290"/>
      <c r="S47" s="1420" t="str">
        <f>INDEX(PT_DIFFERENTIATION_NUM_TER,MATCH(B47,PT_DIFFERENTIATION_TER_ID,0))</f>
        <v>.</v>
      </c>
      <c r="T47" s="246" t="s">
        <v>442</v>
      </c>
      <c r="U47" s="238"/>
      <c r="V47" s="2891"/>
      <c r="W47" s="2891"/>
      <c r="X47" s="2891"/>
      <c r="Y47" s="2891"/>
      <c r="Z47" s="2891"/>
      <c r="AA47" s="2891"/>
      <c r="AB47" s="2891"/>
      <c r="AC47" s="2892"/>
      <c r="AD47" s="2890" t="str">
        <f>INDEX(PT_DIFFERENTIATION_TER,MATCH(B47,PT_DIFFERENTIATION_TER_ID,0))</f>
        <v/>
      </c>
      <c r="AE47" s="2891"/>
      <c r="AF47" s="2891"/>
      <c r="AG47" s="2891"/>
      <c r="AH47" s="2891"/>
      <c r="AI47" s="2891"/>
      <c r="AJ47" s="2891"/>
      <c r="AK47" s="2891"/>
      <c r="AL47" s="2891"/>
      <c r="AM47" s="2891"/>
      <c r="AN47" s="2891"/>
      <c r="AO47" s="2891"/>
      <c r="AP47" s="2891"/>
      <c r="AQ47" s="2891"/>
      <c r="AR47" s="2891"/>
      <c r="AS47" s="2891"/>
      <c r="AT47" s="2891"/>
      <c r="AU47" s="2891"/>
      <c r="AV47" s="2891"/>
      <c r="AW47" s="2891"/>
      <c r="AX47" s="2891"/>
      <c r="AY47" s="2891"/>
      <c r="AZ47" s="2891"/>
      <c r="BA47" s="2891"/>
      <c r="BB47" s="2892"/>
      <c r="BC47" s="1185" t="s">
        <v>443</v>
      </c>
      <c r="BE47" s="437"/>
      <c r="BF47" s="437" t="str">
        <f t="shared" si="3"/>
        <v>Территория действия тарифа</v>
      </c>
      <c r="BG47" s="437"/>
      <c r="BH47" s="437"/>
      <c r="BI47" s="1082">
        <v>21</v>
      </c>
    </row>
    <row r="48" spans="1:61" ht="36" customHeight="1">
      <c r="A48" s="1290" t="s">
        <v>321</v>
      </c>
      <c r="B48" s="1290" t="s">
        <v>322</v>
      </c>
      <c r="C48" s="1290" t="s">
        <v>323</v>
      </c>
      <c r="D48" s="1290"/>
      <c r="E48" s="2897"/>
      <c r="F48" s="2897"/>
      <c r="G48" s="2896">
        <v>1</v>
      </c>
      <c r="H48" s="1290"/>
      <c r="I48" s="1290"/>
      <c r="J48" s="1290"/>
      <c r="K48" s="1290"/>
      <c r="L48" s="1291"/>
      <c r="M48" s="1292"/>
      <c r="N48" s="1292"/>
      <c r="O48" s="1292"/>
      <c r="P48" s="1339"/>
      <c r="Q48" s="1338"/>
      <c r="R48" s="290"/>
      <c r="S48" s="1420" t="str">
        <f>INDEX(PT_DIFFERENTIATION_NUM_CS,MATCH(C48,PT_DIFFERENTIATION_CS_ID,0))</f>
        <v>..</v>
      </c>
      <c r="T48" s="247" t="s">
        <v>562</v>
      </c>
      <c r="U48" s="238"/>
      <c r="V48" s="2891"/>
      <c r="W48" s="2891"/>
      <c r="X48" s="2891"/>
      <c r="Y48" s="2891"/>
      <c r="Z48" s="2891"/>
      <c r="AA48" s="2891"/>
      <c r="AB48" s="2891"/>
      <c r="AC48" s="2892"/>
      <c r="AD48" s="2890" t="str">
        <f>INDEX(PT_DIFFERENTIATION_CS,MATCH(C48,PT_DIFFERENTIATION_CS_ID,0))</f>
        <v/>
      </c>
      <c r="AE48" s="2891"/>
      <c r="AF48" s="2891"/>
      <c r="AG48" s="2891"/>
      <c r="AH48" s="2891"/>
      <c r="AI48" s="2891"/>
      <c r="AJ48" s="2891"/>
      <c r="AK48" s="2891"/>
      <c r="AL48" s="2891"/>
      <c r="AM48" s="2891"/>
      <c r="AN48" s="2891"/>
      <c r="AO48" s="2891"/>
      <c r="AP48" s="2891"/>
      <c r="AQ48" s="2891"/>
      <c r="AR48" s="2891"/>
      <c r="AS48" s="2891"/>
      <c r="AT48" s="2891"/>
      <c r="AU48" s="2891"/>
      <c r="AV48" s="2891"/>
      <c r="AW48" s="2891"/>
      <c r="AX48" s="2891"/>
      <c r="AY48" s="2891"/>
      <c r="AZ48" s="2891"/>
      <c r="BA48" s="2891"/>
      <c r="BB48" s="2892"/>
      <c r="BC48" s="1185" t="s">
        <v>563</v>
      </c>
      <c r="BE48" s="437"/>
      <c r="BF48" s="437" t="str">
        <f t="shared" si="3"/>
        <v>Наименование централизованной системы водоотведения</v>
      </c>
      <c r="BG48" s="437"/>
      <c r="BH48" s="437"/>
      <c r="BI48" s="1082">
        <v>34</v>
      </c>
    </row>
    <row r="49" spans="1:61" s="1569" customFormat="1" ht="0" hidden="1" customHeight="1">
      <c r="A49" s="1270" t="s">
        <v>321</v>
      </c>
      <c r="B49" s="1270" t="s">
        <v>322</v>
      </c>
      <c r="C49" s="1270" t="s">
        <v>323</v>
      </c>
      <c r="D49" s="1270" t="s">
        <v>575</v>
      </c>
      <c r="E49" s="2897"/>
      <c r="F49" s="2897"/>
      <c r="G49" s="2897"/>
      <c r="H49" s="2896">
        <v>1</v>
      </c>
      <c r="I49" s="1270"/>
      <c r="J49" s="1270"/>
      <c r="K49" s="1270"/>
      <c r="L49" s="1273"/>
      <c r="M49" s="1242"/>
      <c r="N49" s="1242"/>
      <c r="O49" s="1242"/>
      <c r="P49" s="1424"/>
      <c r="Q49" s="1425"/>
      <c r="R49" s="294"/>
      <c r="S49" s="972"/>
      <c r="T49" s="1426"/>
      <c r="U49" s="1311"/>
      <c r="V49" s="2929"/>
      <c r="W49" s="2929"/>
      <c r="X49" s="2929"/>
      <c r="Y49" s="2929"/>
      <c r="Z49" s="2929"/>
      <c r="AA49" s="2929"/>
      <c r="AB49" s="2929"/>
      <c r="AC49" s="2930"/>
      <c r="AD49" s="2928"/>
      <c r="AE49" s="2929"/>
      <c r="AF49" s="2929"/>
      <c r="AG49" s="2929"/>
      <c r="AH49" s="2929"/>
      <c r="AI49" s="2929"/>
      <c r="AJ49" s="2929"/>
      <c r="AK49" s="2929"/>
      <c r="AL49" s="2929"/>
      <c r="AM49" s="2929"/>
      <c r="AN49" s="2929"/>
      <c r="AO49" s="2929"/>
      <c r="AP49" s="2929"/>
      <c r="AQ49" s="2929"/>
      <c r="AR49" s="2929"/>
      <c r="AS49" s="2929"/>
      <c r="AT49" s="2929"/>
      <c r="AU49" s="2929"/>
      <c r="AV49" s="2929"/>
      <c r="AW49" s="2929"/>
      <c r="AX49" s="2929"/>
      <c r="AY49" s="2929"/>
      <c r="AZ49" s="2929"/>
      <c r="BA49" s="2929"/>
      <c r="BB49" s="2930"/>
      <c r="BC49" s="1312" t="s">
        <v>447</v>
      </c>
      <c r="BE49" s="437"/>
      <c r="BF49" s="437" t="str">
        <f t="shared" si="3"/>
        <v/>
      </c>
      <c r="BG49" s="437"/>
      <c r="BH49" s="437"/>
      <c r="BI49" s="448">
        <v>0</v>
      </c>
    </row>
    <row r="50" spans="1:61" s="1569" customFormat="1" ht="0" hidden="1" customHeight="1">
      <c r="A50" s="1270" t="s">
        <v>321</v>
      </c>
      <c r="B50" s="1270" t="s">
        <v>322</v>
      </c>
      <c r="C50" s="1270" t="s">
        <v>323</v>
      </c>
      <c r="D50" s="1270" t="s">
        <v>575</v>
      </c>
      <c r="E50" s="2897"/>
      <c r="F50" s="2897"/>
      <c r="G50" s="2897"/>
      <c r="H50" s="2897"/>
      <c r="I50" s="2898" t="str">
        <f>S49&amp;".1"</f>
        <v>.1</v>
      </c>
      <c r="J50" s="1270"/>
      <c r="K50" s="1270"/>
      <c r="L50" s="1273" t="s">
        <v>448</v>
      </c>
      <c r="M50" s="447"/>
      <c r="N50" s="447"/>
      <c r="O50" s="447"/>
      <c r="P50" s="2900">
        <v>1</v>
      </c>
      <c r="Q50" s="1408"/>
      <c r="R50" s="293"/>
      <c r="S50" s="972"/>
      <c r="T50" s="1310"/>
      <c r="U50" s="1311"/>
      <c r="V50" s="2929"/>
      <c r="W50" s="2929"/>
      <c r="X50" s="2929"/>
      <c r="Y50" s="2929"/>
      <c r="Z50" s="2929"/>
      <c r="AA50" s="2929"/>
      <c r="AB50" s="2929"/>
      <c r="AC50" s="2930"/>
      <c r="AD50" s="2928"/>
      <c r="AE50" s="2929"/>
      <c r="AF50" s="2929"/>
      <c r="AG50" s="2929"/>
      <c r="AH50" s="2929"/>
      <c r="AI50" s="2929"/>
      <c r="AJ50" s="2929"/>
      <c r="AK50" s="2929"/>
      <c r="AL50" s="2929"/>
      <c r="AM50" s="2929"/>
      <c r="AN50" s="2929"/>
      <c r="AO50" s="2929"/>
      <c r="AP50" s="2929"/>
      <c r="AQ50" s="2929"/>
      <c r="AR50" s="2929"/>
      <c r="AS50" s="2929"/>
      <c r="AT50" s="2929"/>
      <c r="AU50" s="2929"/>
      <c r="AV50" s="2929"/>
      <c r="AW50" s="2929"/>
      <c r="AX50" s="2929"/>
      <c r="AY50" s="2929"/>
      <c r="AZ50" s="2929"/>
      <c r="BA50" s="2929"/>
      <c r="BB50" s="2930"/>
      <c r="BC50" s="1312"/>
      <c r="BE50" s="437"/>
      <c r="BF50" s="437" t="str">
        <f t="shared" si="3"/>
        <v/>
      </c>
      <c r="BG50" s="437"/>
      <c r="BH50" s="437"/>
      <c r="BI50" s="448">
        <v>0</v>
      </c>
    </row>
    <row r="51" spans="1:61" s="1569" customFormat="1" ht="0" hidden="1" customHeight="1">
      <c r="A51" s="1270" t="s">
        <v>321</v>
      </c>
      <c r="B51" s="1270" t="s">
        <v>322</v>
      </c>
      <c r="C51" s="1270" t="s">
        <v>323</v>
      </c>
      <c r="D51" s="1270" t="s">
        <v>575</v>
      </c>
      <c r="E51" s="2897"/>
      <c r="F51" s="2897"/>
      <c r="G51" s="2897"/>
      <c r="H51" s="2897"/>
      <c r="I51" s="2899"/>
      <c r="J51" s="2898" t="str">
        <f>S49&amp;".1"</f>
        <v>.1</v>
      </c>
      <c r="K51" s="1270"/>
      <c r="L51" s="1273"/>
      <c r="M51" s="447"/>
      <c r="N51" s="447"/>
      <c r="O51" s="447"/>
      <c r="P51" s="2900"/>
      <c r="Q51" s="2900">
        <v>1</v>
      </c>
      <c r="R51" s="294"/>
      <c r="S51" s="972"/>
      <c r="T51" s="1326"/>
      <c r="U51" s="1311"/>
      <c r="V51" s="2929"/>
      <c r="W51" s="2929"/>
      <c r="X51" s="2929"/>
      <c r="Y51" s="2929"/>
      <c r="Z51" s="2929"/>
      <c r="AA51" s="2929"/>
      <c r="AB51" s="2929"/>
      <c r="AC51" s="2930"/>
      <c r="AD51" s="2928"/>
      <c r="AE51" s="2929"/>
      <c r="AF51" s="2929"/>
      <c r="AG51" s="2929"/>
      <c r="AH51" s="2929"/>
      <c r="AI51" s="2929"/>
      <c r="AJ51" s="2929"/>
      <c r="AK51" s="2929"/>
      <c r="AL51" s="2929"/>
      <c r="AM51" s="2929"/>
      <c r="AN51" s="2980"/>
      <c r="AO51" s="2980"/>
      <c r="AP51" s="2929"/>
      <c r="AQ51" s="2929"/>
      <c r="AR51" s="2929"/>
      <c r="AS51" s="2929"/>
      <c r="AT51" s="2929"/>
      <c r="AU51" s="2929"/>
      <c r="AV51" s="2929"/>
      <c r="AW51" s="2929"/>
      <c r="AX51" s="2929"/>
      <c r="AY51" s="2929"/>
      <c r="AZ51" s="2929"/>
      <c r="BA51" s="2929"/>
      <c r="BB51" s="2930"/>
      <c r="BC51" s="1312"/>
      <c r="BE51" s="437"/>
      <c r="BF51" s="437" t="str">
        <f t="shared" si="3"/>
        <v/>
      </c>
      <c r="BG51" s="437"/>
      <c r="BH51" s="437"/>
      <c r="BI51" s="448">
        <v>0</v>
      </c>
    </row>
    <row r="52" spans="1:61" ht="11.25" customHeight="1">
      <c r="A52" s="1290" t="s">
        <v>321</v>
      </c>
      <c r="B52" s="1290" t="s">
        <v>322</v>
      </c>
      <c r="C52" s="1290" t="s">
        <v>323</v>
      </c>
      <c r="D52" s="1290" t="s">
        <v>575</v>
      </c>
      <c r="E52" s="2897"/>
      <c r="F52" s="2897"/>
      <c r="G52" s="2897"/>
      <c r="H52" s="2897"/>
      <c r="I52" s="2899"/>
      <c r="J52" s="2899"/>
      <c r="K52" s="2898" t="str">
        <f>S48&amp;".1"</f>
        <v>...1</v>
      </c>
      <c r="L52" s="1291"/>
      <c r="P52" s="2900"/>
      <c r="Q52" s="2900"/>
      <c r="R52" s="294">
        <v>1</v>
      </c>
      <c r="S52" s="2954" t="str">
        <f>$K52</f>
        <v>...1</v>
      </c>
      <c r="T52" s="2974"/>
      <c r="U52" s="238"/>
      <c r="V52" s="688"/>
      <c r="W52" s="1184"/>
      <c r="X52" s="688"/>
      <c r="Y52" s="1184"/>
      <c r="Z52" s="1660"/>
      <c r="AA52" s="1396" t="s">
        <v>71</v>
      </c>
      <c r="AB52" s="1660"/>
      <c r="AC52" s="1396" t="s">
        <v>71</v>
      </c>
      <c r="AD52" s="2821" t="s">
        <v>71</v>
      </c>
      <c r="AE52" s="2950"/>
      <c r="AF52" s="2853">
        <v>1</v>
      </c>
      <c r="AG52" s="2973"/>
      <c r="AH52" s="2768" t="s">
        <v>71</v>
      </c>
      <c r="AI52" s="2950"/>
      <c r="AJ52" s="2853">
        <v>1</v>
      </c>
      <c r="AK52" s="2964" t="s">
        <v>30</v>
      </c>
      <c r="AL52" s="2768" t="s">
        <v>71</v>
      </c>
      <c r="AM52" s="2830"/>
      <c r="AN52" s="2853">
        <v>1</v>
      </c>
      <c r="AO52" s="2977"/>
      <c r="AP52" s="2978" t="s">
        <v>71</v>
      </c>
      <c r="AQ52" s="249"/>
      <c r="AR52" s="1413">
        <v>1</v>
      </c>
      <c r="AS52" s="1419" t="s">
        <v>30</v>
      </c>
      <c r="AT52" s="688"/>
      <c r="AU52" s="1184"/>
      <c r="AV52" s="688"/>
      <c r="AW52" s="1184"/>
      <c r="AX52" s="1660"/>
      <c r="AY52" s="1396" t="s">
        <v>71</v>
      </c>
      <c r="AZ52" s="1660"/>
      <c r="BA52" s="1396" t="s">
        <v>71</v>
      </c>
      <c r="BB52" s="1275"/>
      <c r="BC52" s="2919" t="s">
        <v>547</v>
      </c>
      <c r="BE52" s="437"/>
      <c r="BF52" s="437" t="str">
        <f t="shared" si="3"/>
        <v/>
      </c>
      <c r="BG52" s="437"/>
      <c r="BH52" s="437"/>
      <c r="BI52" s="1082">
        <v>11</v>
      </c>
    </row>
    <row r="53" spans="1:61" ht="11.25" customHeight="1">
      <c r="A53" s="1290"/>
      <c r="B53" s="1290"/>
      <c r="C53" s="1290"/>
      <c r="D53" s="1290"/>
      <c r="E53" s="2897"/>
      <c r="F53" s="2897"/>
      <c r="G53" s="2897"/>
      <c r="H53" s="2897"/>
      <c r="I53" s="2899"/>
      <c r="J53" s="2899"/>
      <c r="K53" s="2898"/>
      <c r="L53" s="1291"/>
      <c r="P53" s="2900"/>
      <c r="Q53" s="2900"/>
      <c r="R53" s="294"/>
      <c r="S53" s="2955"/>
      <c r="T53" s="2975"/>
      <c r="U53" s="238"/>
      <c r="V53" s="1320"/>
      <c r="W53" s="1423"/>
      <c r="X53" s="1320"/>
      <c r="Y53" s="1423"/>
      <c r="Z53" s="1320"/>
      <c r="AA53" s="1320"/>
      <c r="AB53" s="1320"/>
      <c r="AC53" s="1320"/>
      <c r="AD53" s="2822"/>
      <c r="AE53" s="2950"/>
      <c r="AF53" s="2853"/>
      <c r="AG53" s="2973"/>
      <c r="AH53" s="2768"/>
      <c r="AI53" s="2950"/>
      <c r="AJ53" s="2853"/>
      <c r="AK53" s="2964"/>
      <c r="AL53" s="2768"/>
      <c r="AM53" s="2835"/>
      <c r="AN53" s="2853"/>
      <c r="AO53" s="2977"/>
      <c r="AP53" s="2979"/>
      <c r="AQ53" s="254"/>
      <c r="AR53" s="353"/>
      <c r="AS53" s="353" t="s">
        <v>548</v>
      </c>
      <c r="AT53" s="1320"/>
      <c r="AU53" s="1423"/>
      <c r="AV53" s="1320"/>
      <c r="AW53" s="1423"/>
      <c r="AX53" s="1320"/>
      <c r="AY53" s="1320"/>
      <c r="AZ53" s="1320"/>
      <c r="BA53" s="1320"/>
      <c r="BB53" s="1324"/>
      <c r="BC53" s="2920"/>
      <c r="BE53" s="437"/>
      <c r="BF53" s="437"/>
      <c r="BG53" s="437"/>
      <c r="BH53" s="437"/>
      <c r="BI53" s="1082">
        <v>11</v>
      </c>
    </row>
    <row r="54" spans="1:61" ht="11.25" customHeight="1">
      <c r="A54" s="1290" t="s">
        <v>321</v>
      </c>
      <c r="B54" s="1290"/>
      <c r="C54" s="1290"/>
      <c r="D54" s="1290"/>
      <c r="E54" s="2897"/>
      <c r="F54" s="2897"/>
      <c r="G54" s="2897"/>
      <c r="H54" s="2897"/>
      <c r="I54" s="2899"/>
      <c r="J54" s="2899"/>
      <c r="K54" s="2898"/>
      <c r="L54" s="1291"/>
      <c r="P54" s="2900"/>
      <c r="Q54" s="2900"/>
      <c r="R54" s="294"/>
      <c r="S54" s="2955"/>
      <c r="T54" s="2975"/>
      <c r="U54" s="238"/>
      <c r="V54" s="1320"/>
      <c r="W54" s="1423"/>
      <c r="X54" s="1320"/>
      <c r="Y54" s="1423"/>
      <c r="Z54" s="1320"/>
      <c r="AA54" s="1320"/>
      <c r="AB54" s="1320"/>
      <c r="AC54" s="1320"/>
      <c r="AD54" s="2822"/>
      <c r="AE54" s="2950"/>
      <c r="AF54" s="2853"/>
      <c r="AG54" s="2973"/>
      <c r="AH54" s="2768"/>
      <c r="AI54" s="2950"/>
      <c r="AJ54" s="2853"/>
      <c r="AK54" s="2964"/>
      <c r="AL54" s="2768"/>
      <c r="AM54" s="254"/>
      <c r="AN54" s="1427"/>
      <c r="AO54" s="1427" t="s">
        <v>568</v>
      </c>
      <c r="AP54" s="353"/>
      <c r="AQ54" s="353"/>
      <c r="AR54" s="353"/>
      <c r="AS54" s="1320"/>
      <c r="AT54" s="1320"/>
      <c r="AU54" s="1423"/>
      <c r="AV54" s="1320"/>
      <c r="AW54" s="1423"/>
      <c r="AX54" s="1320"/>
      <c r="AY54" s="1320"/>
      <c r="AZ54" s="1320"/>
      <c r="BA54" s="1320"/>
      <c r="BB54" s="1324"/>
      <c r="BC54" s="2920"/>
      <c r="BE54" s="437"/>
      <c r="BF54" s="437"/>
      <c r="BG54" s="437"/>
      <c r="BH54" s="437"/>
      <c r="BI54" s="1082">
        <v>11</v>
      </c>
    </row>
    <row r="55" spans="1:61" ht="11.25" customHeight="1">
      <c r="A55" s="1290" t="s">
        <v>321</v>
      </c>
      <c r="B55" s="1290"/>
      <c r="C55" s="1290"/>
      <c r="D55" s="1290"/>
      <c r="E55" s="2897"/>
      <c r="F55" s="2897"/>
      <c r="G55" s="2897"/>
      <c r="H55" s="2897"/>
      <c r="I55" s="2899"/>
      <c r="J55" s="2899"/>
      <c r="K55" s="2898"/>
      <c r="L55" s="1291"/>
      <c r="P55" s="2900"/>
      <c r="Q55" s="2900"/>
      <c r="R55" s="294"/>
      <c r="S55" s="2955"/>
      <c r="T55" s="2975"/>
      <c r="U55" s="238"/>
      <c r="V55" s="1320"/>
      <c r="W55" s="1423"/>
      <c r="X55" s="1320"/>
      <c r="Y55" s="1423"/>
      <c r="Z55" s="1320"/>
      <c r="AA55" s="1320"/>
      <c r="AB55" s="1320"/>
      <c r="AC55" s="1320"/>
      <c r="AD55" s="2822"/>
      <c r="AE55" s="2950"/>
      <c r="AF55" s="2853"/>
      <c r="AG55" s="2973"/>
      <c r="AH55" s="2768"/>
      <c r="AI55" s="232"/>
      <c r="AJ55" s="352"/>
      <c r="AK55" s="251" t="s">
        <v>569</v>
      </c>
      <c r="AL55" s="1320"/>
      <c r="AM55" s="1320"/>
      <c r="AN55" s="1320"/>
      <c r="AO55" s="1320"/>
      <c r="AP55" s="1320"/>
      <c r="AQ55" s="1320"/>
      <c r="AR55" s="1320"/>
      <c r="AS55" s="1320"/>
      <c r="AT55" s="1320"/>
      <c r="AU55" s="1423"/>
      <c r="AV55" s="1320"/>
      <c r="AW55" s="1423"/>
      <c r="AX55" s="1320"/>
      <c r="AY55" s="1320"/>
      <c r="AZ55" s="1320"/>
      <c r="BA55" s="1320"/>
      <c r="BB55" s="1324"/>
      <c r="BC55" s="2920"/>
      <c r="BE55" s="437"/>
      <c r="BF55" s="437"/>
      <c r="BG55" s="437"/>
      <c r="BH55" s="437"/>
      <c r="BI55" s="1082">
        <v>11</v>
      </c>
    </row>
    <row r="56" spans="1:61" ht="11.25" customHeight="1">
      <c r="A56" s="1290" t="s">
        <v>321</v>
      </c>
      <c r="B56" s="1290" t="s">
        <v>322</v>
      </c>
      <c r="C56" s="1290" t="s">
        <v>323</v>
      </c>
      <c r="D56" s="1290" t="s">
        <v>575</v>
      </c>
      <c r="E56" s="2897"/>
      <c r="F56" s="2897"/>
      <c r="G56" s="2897"/>
      <c r="H56" s="2897"/>
      <c r="I56" s="2899"/>
      <c r="J56" s="2899"/>
      <c r="K56" s="2898"/>
      <c r="L56" s="1291"/>
      <c r="P56" s="2900"/>
      <c r="Q56" s="2900"/>
      <c r="R56" s="294"/>
      <c r="S56" s="2956"/>
      <c r="T56" s="2976"/>
      <c r="U56" s="238"/>
      <c r="V56" s="1320"/>
      <c r="W56" s="1321" t="str">
        <f>Z52&amp;"-"&amp;AB52</f>
        <v>-</v>
      </c>
      <c r="X56" s="1320"/>
      <c r="Y56" s="1321" t="str">
        <f>AB52&amp;"-"&amp;AD52</f>
        <v>-да</v>
      </c>
      <c r="Z56" s="1320"/>
      <c r="AA56" s="1320"/>
      <c r="AB56" s="1320"/>
      <c r="AC56" s="1320"/>
      <c r="AD56" s="2773"/>
      <c r="AE56" s="250"/>
      <c r="AF56" s="252"/>
      <c r="AG56" s="353" t="s">
        <v>551</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920"/>
      <c r="BE56" s="437"/>
      <c r="BF56" s="437" t="str">
        <f t="shared" ref="BF56:BF63" si="4">IF(T56="","",T56)</f>
        <v/>
      </c>
      <c r="BG56" s="437"/>
      <c r="BH56" s="437"/>
      <c r="BI56" s="1082">
        <v>11</v>
      </c>
    </row>
    <row r="57" spans="1:61" ht="11.25" customHeight="1">
      <c r="A57" s="1290" t="s">
        <v>321</v>
      </c>
      <c r="B57" s="1290" t="s">
        <v>322</v>
      </c>
      <c r="C57" s="1290" t="s">
        <v>323</v>
      </c>
      <c r="D57" s="1290" t="s">
        <v>575</v>
      </c>
      <c r="E57" s="2897"/>
      <c r="F57" s="2897"/>
      <c r="G57" s="2897"/>
      <c r="H57" s="2897"/>
      <c r="I57" s="2899"/>
      <c r="J57" s="2898"/>
      <c r="K57" s="1290"/>
      <c r="L57" s="1291"/>
      <c r="P57" s="2900"/>
      <c r="Q57" s="2900"/>
      <c r="R57" s="293"/>
      <c r="S57" s="1205"/>
      <c r="T57" s="225" t="s">
        <v>514</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921"/>
      <c r="BE57" s="437"/>
      <c r="BF57" s="437" t="str">
        <f t="shared" si="4"/>
        <v>Добавить строку</v>
      </c>
      <c r="BG57" s="437"/>
      <c r="BH57" s="437"/>
      <c r="BI57" s="1082">
        <v>11</v>
      </c>
    </row>
    <row r="58" spans="1:61" s="1569" customFormat="1" ht="0" hidden="1" customHeight="1">
      <c r="A58" s="1270" t="s">
        <v>321</v>
      </c>
      <c r="B58" s="1270" t="s">
        <v>322</v>
      </c>
      <c r="C58" s="1270" t="s">
        <v>323</v>
      </c>
      <c r="D58" s="1270" t="s">
        <v>575</v>
      </c>
      <c r="E58" s="2897"/>
      <c r="F58" s="2897"/>
      <c r="G58" s="2897"/>
      <c r="H58" s="2897"/>
      <c r="I58" s="2898"/>
      <c r="J58" s="1270"/>
      <c r="K58" s="1270"/>
      <c r="L58" s="1273"/>
      <c r="M58" s="447"/>
      <c r="N58" s="447"/>
      <c r="O58" s="447"/>
      <c r="P58" s="290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321</v>
      </c>
      <c r="B59" s="1270" t="s">
        <v>322</v>
      </c>
      <c r="C59" s="1270" t="s">
        <v>323</v>
      </c>
      <c r="D59" s="1270" t="s">
        <v>575</v>
      </c>
      <c r="E59" s="2897"/>
      <c r="F59" s="2897"/>
      <c r="G59" s="2897"/>
      <c r="H59" s="289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321</v>
      </c>
      <c r="B60" s="1270" t="s">
        <v>322</v>
      </c>
      <c r="C60" s="1270" t="s">
        <v>323</v>
      </c>
      <c r="D60" s="1241"/>
      <c r="E60" s="2897"/>
      <c r="F60" s="2897"/>
      <c r="G60" s="289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321</v>
      </c>
      <c r="B61" s="1270" t="s">
        <v>322</v>
      </c>
      <c r="C61" s="1241"/>
      <c r="D61" s="1241"/>
      <c r="E61" s="2897"/>
      <c r="F61" s="2896"/>
      <c r="G61" s="1241"/>
      <c r="H61" s="1241"/>
      <c r="I61" s="1241"/>
      <c r="J61" s="1241"/>
      <c r="K61" s="1241"/>
      <c r="L61" s="1421"/>
      <c r="M61" s="1248"/>
      <c r="N61" s="1248"/>
      <c r="P61" s="1243"/>
      <c r="Q61" s="1244"/>
      <c r="R61" s="1243"/>
      <c r="S61" s="1249"/>
      <c r="T61" s="1252" t="s">
        <v>176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321</v>
      </c>
      <c r="B62" s="1270"/>
      <c r="C62" s="1270"/>
      <c r="D62" s="1270"/>
      <c r="E62" s="2896"/>
      <c r="F62" s="1270"/>
      <c r="G62" s="1270"/>
      <c r="H62" s="1270"/>
      <c r="I62" s="1270"/>
      <c r="J62" s="1270"/>
      <c r="K62" s="1270"/>
      <c r="L62" s="1273"/>
      <c r="M62" s="1248"/>
      <c r="N62" s="1248"/>
      <c r="O62" s="455"/>
      <c r="P62" s="317"/>
      <c r="Q62" s="1271"/>
      <c r="R62" s="317"/>
      <c r="S62" s="1249"/>
      <c r="T62" s="1252" t="s">
        <v>178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25" customHeight="1">
      <c r="M64" s="1087"/>
      <c r="N64" s="1087"/>
      <c r="O64" s="474"/>
      <c r="P64" s="1087"/>
      <c r="Q64" s="1087"/>
      <c r="R64" s="1082"/>
      <c r="S64" s="1082"/>
      <c r="BD64" s="1082"/>
      <c r="BE64" s="1082"/>
      <c r="BF64" s="1082"/>
      <c r="BG64" s="1082"/>
      <c r="BH64" s="1082"/>
      <c r="BI64" s="1082">
        <v>11</v>
      </c>
    </row>
    <row r="65" spans="1:61" ht="15" customHeight="1">
      <c r="O65" s="474"/>
      <c r="S65" s="1180"/>
      <c r="T65" s="2895"/>
      <c r="U65" s="2895"/>
      <c r="V65" s="2895"/>
      <c r="W65" s="2895"/>
      <c r="X65" s="2895"/>
      <c r="Y65" s="2895"/>
      <c r="Z65" s="2895"/>
      <c r="AA65" s="2895"/>
      <c r="AB65" s="2895"/>
      <c r="AC65" s="2895"/>
      <c r="AD65" s="2895"/>
      <c r="AE65" s="2895"/>
      <c r="AF65" s="2895"/>
      <c r="AG65" s="2895"/>
      <c r="AH65" s="2895"/>
      <c r="AI65" s="2895"/>
      <c r="AJ65" s="2895"/>
      <c r="AK65" s="2895"/>
      <c r="AL65" s="2895"/>
      <c r="AM65" s="2895"/>
      <c r="AN65" s="2895"/>
      <c r="AO65" s="2895"/>
      <c r="AP65" s="2895"/>
      <c r="AQ65" s="2895"/>
      <c r="AR65" s="2895"/>
      <c r="AS65" s="2895"/>
      <c r="AT65" s="2895"/>
      <c r="AU65" s="2895"/>
      <c r="AV65" s="2895"/>
      <c r="AW65" s="2895"/>
      <c r="AX65" s="2895"/>
      <c r="AY65" s="2895"/>
      <c r="AZ65" s="2895"/>
      <c r="BA65" s="2895"/>
      <c r="BB65" s="2895"/>
      <c r="BC65" s="2895"/>
      <c r="BI65" s="1082">
        <v>14</v>
      </c>
    </row>
    <row r="66" spans="1:61" ht="1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15" customHeight="1">
      <c r="O67" s="474"/>
      <c r="S67" s="1180"/>
      <c r="T67" s="2895"/>
      <c r="U67" s="2895"/>
      <c r="V67" s="2895"/>
      <c r="W67" s="2895"/>
      <c r="X67" s="2895"/>
      <c r="Y67" s="2895"/>
      <c r="Z67" s="2895"/>
      <c r="AA67" s="2895"/>
      <c r="AB67" s="2895"/>
      <c r="AC67" s="2895"/>
      <c r="AD67" s="2895"/>
      <c r="AE67" s="2895"/>
      <c r="AF67" s="2895"/>
      <c r="AG67" s="2895"/>
      <c r="AH67" s="2895"/>
      <c r="AI67" s="2895"/>
      <c r="AJ67" s="2895"/>
      <c r="AK67" s="2895"/>
      <c r="AL67" s="2895"/>
      <c r="AM67" s="2895"/>
      <c r="AN67" s="2895"/>
      <c r="AO67" s="2895"/>
      <c r="AP67" s="2895"/>
      <c r="AQ67" s="2895"/>
      <c r="AR67" s="2895"/>
      <c r="AS67" s="2895"/>
      <c r="AT67" s="2895"/>
      <c r="AU67" s="2895"/>
      <c r="AV67" s="2895"/>
      <c r="AW67" s="2895"/>
      <c r="AX67" s="2895"/>
      <c r="AY67" s="2895"/>
      <c r="AZ67" s="2895"/>
      <c r="BA67" s="2895"/>
      <c r="BB67" s="2895"/>
      <c r="BC67" s="2895"/>
      <c r="BI67" s="1082">
        <v>14</v>
      </c>
    </row>
    <row r="68" spans="1:61" ht="15" customHeight="1">
      <c r="O68" s="474"/>
      <c r="BI68" s="1082">
        <v>14</v>
      </c>
    </row>
    <row r="69" spans="1:61" ht="14.25" hidden="1" customHeight="1">
      <c r="A69" s="1087" t="s">
        <v>87</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AC29"/>
  <sheetViews>
    <sheetView showGridLines="0" zoomScale="90" workbookViewId="0">
      <pane xSplit="6" ySplit="11" topLeftCell="G12" activePane="bottomRight" state="frozen"/>
      <selection pane="topRight" activeCell="G1" sqref="G1"/>
      <selection pane="bottomLeft" activeCell="A12" sqref="A12"/>
      <selection pane="bottomRight" activeCell="G13" sqref="G13"/>
    </sheetView>
  </sheetViews>
  <sheetFormatPr defaultColWidth="9.140625" defaultRowHeight="14.25" customHeight="1"/>
  <cols>
    <col min="1" max="1" width="8" style="1562" hidden="1" customWidth="1"/>
    <col min="2" max="2" width="6" style="1293" hidden="1" customWidth="1"/>
    <col min="3" max="3" width="3" style="1562" customWidth="1"/>
    <col min="4" max="4" width="3" style="1767" customWidth="1"/>
    <col min="5" max="5" width="6" style="1562" customWidth="1"/>
    <col min="6" max="6" width="2.7109375" style="1562" hidden="1" customWidth="1"/>
    <col min="7" max="7" width="46.7109375" style="1562" customWidth="1"/>
    <col min="8" max="8" width="42" style="1562" customWidth="1"/>
    <col min="9" max="9" width="14" style="1562" customWidth="1"/>
    <col min="10" max="10" width="3" style="1551" customWidth="1"/>
    <col min="11" max="13" width="9.140625" style="1551" hidden="1"/>
    <col min="14" max="14" width="25.7109375" style="1551" hidden="1" customWidth="1"/>
    <col min="15" max="15" width="14.42578125" style="1551" hidden="1" customWidth="1"/>
    <col min="16" max="19" width="9.140625" style="163" hidden="1"/>
    <col min="20" max="27" width="9.140625" style="1562" hidden="1"/>
    <col min="28" max="28" width="8" style="1562" customWidth="1"/>
    <col min="29" max="29" width="9.140625" style="1562" hidden="1"/>
  </cols>
  <sheetData>
    <row r="1" spans="1:29" s="1569" customFormat="1" ht="5.25" hidden="1" customHeight="1">
      <c r="A1" s="433"/>
      <c r="B1" s="448"/>
      <c r="C1" s="448"/>
      <c r="D1" s="159"/>
      <c r="F1" s="448"/>
      <c r="G1" s="185" t="s">
        <v>88</v>
      </c>
      <c r="H1" s="431" t="s">
        <v>89</v>
      </c>
      <c r="I1" s="165" t="s">
        <v>90</v>
      </c>
      <c r="J1" s="185" t="s">
        <v>88</v>
      </c>
      <c r="K1" s="185"/>
      <c r="L1" s="185"/>
      <c r="M1" s="185"/>
      <c r="N1" s="186"/>
      <c r="O1" s="185"/>
      <c r="P1" s="185"/>
      <c r="Q1" s="185"/>
      <c r="R1" s="185"/>
      <c r="S1" s="185"/>
      <c r="T1" s="165"/>
      <c r="U1" s="165"/>
      <c r="V1" s="165"/>
      <c r="W1" s="165"/>
      <c r="X1" s="165"/>
      <c r="Y1" s="165"/>
      <c r="Z1" s="165"/>
      <c r="AA1" s="165"/>
      <c r="AB1" s="165"/>
      <c r="AC1" s="90" t="s">
        <v>14</v>
      </c>
    </row>
    <row r="2" spans="1:29" s="1339" customFormat="1" ht="11.25" customHeight="1">
      <c r="A2" s="762"/>
      <c r="B2" s="166"/>
      <c r="C2" s="166"/>
      <c r="D2" s="167"/>
      <c r="E2" s="166"/>
      <c r="F2" s="166"/>
      <c r="G2" s="166"/>
      <c r="H2" s="166"/>
      <c r="I2" s="166"/>
      <c r="J2" s="185"/>
      <c r="K2" s="185"/>
      <c r="L2" s="185"/>
      <c r="M2" s="185"/>
      <c r="N2" s="186"/>
      <c r="O2" s="185"/>
      <c r="P2" s="168"/>
      <c r="Q2" s="168"/>
      <c r="R2" s="168"/>
      <c r="S2" s="168"/>
      <c r="T2" s="167"/>
      <c r="U2" s="167"/>
      <c r="V2" s="167"/>
      <c r="W2" s="167"/>
      <c r="X2" s="167"/>
      <c r="Y2" s="167"/>
      <c r="Z2" s="167"/>
      <c r="AA2" s="167"/>
      <c r="AB2" s="167"/>
      <c r="AC2" s="169">
        <v>11</v>
      </c>
    </row>
    <row r="3" spans="1:29" s="1745" customFormat="1" ht="3" customHeight="1">
      <c r="A3" s="693"/>
      <c r="B3" s="354"/>
      <c r="C3" s="693"/>
      <c r="D3" s="102"/>
      <c r="E3" s="43"/>
      <c r="F3" s="446"/>
      <c r="G3" s="43"/>
      <c r="H3" s="43"/>
      <c r="I3" s="104"/>
      <c r="J3" s="185"/>
      <c r="K3" s="93"/>
      <c r="L3" s="93"/>
      <c r="M3" s="93"/>
      <c r="N3" s="164"/>
      <c r="O3" s="93"/>
      <c r="P3" s="163"/>
      <c r="Q3" s="163"/>
      <c r="R3" s="163"/>
      <c r="S3" s="163"/>
      <c r="AC3" s="56">
        <v>3</v>
      </c>
    </row>
    <row r="4" spans="1:29" s="1745" customFormat="1" ht="27" customHeight="1">
      <c r="A4" s="693"/>
      <c r="B4" s="354"/>
      <c r="C4" s="693"/>
      <c r="D4" s="102"/>
      <c r="E4" s="2744" t="str">
        <f>NameTemplatesInListMO</f>
        <v>Перечень муниципальных районов и муниципальных образований (территорий действия тарифа)</v>
      </c>
      <c r="F4" s="2744"/>
      <c r="G4" s="2744"/>
      <c r="H4" s="2744"/>
      <c r="I4" s="2744"/>
      <c r="J4" s="185"/>
      <c r="K4" s="93"/>
      <c r="L4" s="93"/>
      <c r="M4" s="93"/>
      <c r="N4" s="164"/>
      <c r="O4" s="93"/>
      <c r="P4" s="163"/>
      <c r="Q4" s="163"/>
      <c r="R4" s="163"/>
      <c r="S4" s="163"/>
      <c r="AC4" s="56">
        <v>26</v>
      </c>
    </row>
    <row r="5" spans="1:29" s="1745" customFormat="1" ht="3" customHeight="1">
      <c r="A5" s="693"/>
      <c r="B5" s="354"/>
      <c r="C5" s="693"/>
      <c r="D5" s="102"/>
      <c r="E5" s="43"/>
      <c r="F5" s="446"/>
      <c r="G5" s="105"/>
      <c r="H5" s="105"/>
      <c r="I5" s="106"/>
      <c r="J5" s="93"/>
      <c r="K5" s="93"/>
      <c r="L5" s="93"/>
      <c r="M5" s="93"/>
      <c r="N5" s="164"/>
      <c r="O5" s="93"/>
      <c r="P5" s="163"/>
      <c r="Q5" s="163"/>
      <c r="R5" s="163"/>
      <c r="S5" s="163"/>
      <c r="AC5" s="56">
        <v>3</v>
      </c>
    </row>
    <row r="6" spans="1:29" s="1745" customFormat="1" ht="20.25" hidden="1" customHeight="1">
      <c r="A6" s="768"/>
      <c r="B6" s="764"/>
      <c r="C6" s="107"/>
      <c r="D6" s="102"/>
      <c r="E6" s="711"/>
      <c r="F6" s="711"/>
      <c r="G6" s="105"/>
      <c r="H6" s="108"/>
      <c r="I6" s="108"/>
      <c r="J6" s="93"/>
      <c r="K6" s="93"/>
      <c r="L6" s="93"/>
      <c r="M6" s="93"/>
      <c r="N6" s="164"/>
      <c r="O6" s="93"/>
      <c r="P6" s="163"/>
      <c r="Q6" s="163"/>
      <c r="R6" s="163"/>
      <c r="S6" s="163"/>
      <c r="AC6" s="56">
        <v>0</v>
      </c>
    </row>
    <row r="7" spans="1:29" ht="25.5" hidden="1" customHeight="1">
      <c r="AC7" s="23">
        <v>0</v>
      </c>
    </row>
    <row r="8" spans="1:29" s="1745" customFormat="1" ht="15" customHeight="1">
      <c r="A8" s="693"/>
      <c r="B8" s="354"/>
      <c r="C8" s="693"/>
      <c r="D8" s="102"/>
      <c r="E8" s="2740" t="s">
        <v>91</v>
      </c>
      <c r="F8" s="2745"/>
      <c r="G8" s="2739"/>
      <c r="H8" s="2746" t="s">
        <v>92</v>
      </c>
      <c r="I8" s="2746"/>
      <c r="J8" s="93"/>
      <c r="K8" s="93"/>
      <c r="L8" s="93"/>
      <c r="M8" s="93"/>
      <c r="N8" s="164"/>
      <c r="O8" s="93"/>
      <c r="P8" s="163"/>
      <c r="Q8" s="163"/>
      <c r="R8" s="163"/>
      <c r="S8" s="163"/>
      <c r="AC8" s="56">
        <v>14</v>
      </c>
    </row>
    <row r="9" spans="1:29" s="1745" customFormat="1" ht="21" customHeight="1">
      <c r="A9" s="693"/>
      <c r="B9" s="354"/>
      <c r="C9" s="693"/>
      <c r="D9" s="102"/>
      <c r="E9" s="709" t="s">
        <v>93</v>
      </c>
      <c r="F9" s="709"/>
      <c r="G9" s="110" t="s">
        <v>94</v>
      </c>
      <c r="H9" s="110" t="s">
        <v>94</v>
      </c>
      <c r="I9" s="110" t="s">
        <v>90</v>
      </c>
      <c r="J9" s="93"/>
      <c r="K9" s="93"/>
      <c r="L9" s="93"/>
      <c r="M9" s="93"/>
      <c r="N9" s="164"/>
      <c r="O9" s="93"/>
      <c r="P9" s="163"/>
      <c r="Q9" s="163"/>
      <c r="R9" s="163"/>
      <c r="S9" s="163"/>
      <c r="AC9" s="56">
        <v>20</v>
      </c>
    </row>
    <row r="10" spans="1:29" ht="11.25" customHeight="1">
      <c r="D10" s="114"/>
      <c r="E10" s="710" t="s">
        <v>95</v>
      </c>
      <c r="F10" s="710"/>
      <c r="G10" s="161" t="s">
        <v>96</v>
      </c>
      <c r="H10" s="161" t="s">
        <v>97</v>
      </c>
      <c r="I10" s="161" t="s">
        <v>98</v>
      </c>
      <c r="J10" s="124"/>
      <c r="K10" s="124"/>
      <c r="L10" s="124"/>
      <c r="M10" s="124"/>
      <c r="N10" s="109"/>
      <c r="O10" s="124"/>
      <c r="P10" s="162"/>
      <c r="Q10" s="162"/>
      <c r="R10" s="162"/>
      <c r="S10" s="162"/>
      <c r="AC10" s="23">
        <v>11</v>
      </c>
    </row>
    <row r="11" spans="1:29" s="1745" customFormat="1" ht="0.75" customHeight="1">
      <c r="A11" s="693"/>
      <c r="B11" s="354"/>
      <c r="C11" s="693"/>
      <c r="D11" s="102"/>
      <c r="E11" s="721"/>
      <c r="F11" s="721"/>
      <c r="G11" s="111"/>
      <c r="H11" s="111"/>
      <c r="I11" s="113"/>
      <c r="J11" s="187" t="s">
        <v>99</v>
      </c>
      <c r="K11" s="93"/>
      <c r="L11" s="93"/>
      <c r="M11" s="93" t="s">
        <v>100</v>
      </c>
      <c r="N11" s="164" t="s">
        <v>101</v>
      </c>
      <c r="O11" s="93" t="s">
        <v>102</v>
      </c>
      <c r="P11" s="163"/>
      <c r="Q11" s="163"/>
      <c r="R11" s="163"/>
      <c r="S11" s="163"/>
      <c r="AC11" s="56">
        <v>1</v>
      </c>
    </row>
    <row r="12" spans="1:29" s="1745" customFormat="1" ht="15" customHeight="1">
      <c r="A12" s="2743">
        <v>1</v>
      </c>
      <c r="B12" s="354"/>
      <c r="C12" s="693"/>
      <c r="D12" s="713"/>
      <c r="E12" s="157">
        <f>A12</f>
        <v>1</v>
      </c>
      <c r="F12" s="733" t="s">
        <v>103</v>
      </c>
      <c r="G12" s="477" t="str">
        <f>"Территория "&amp;E12</f>
        <v>Территория 1</v>
      </c>
      <c r="H12" s="723"/>
      <c r="I12" s="723"/>
      <c r="J12" s="720"/>
      <c r="K12" s="437"/>
      <c r="L12" s="437"/>
      <c r="M12" s="437"/>
      <c r="N12" s="164"/>
      <c r="O12" s="437"/>
      <c r="P12" s="163"/>
      <c r="Q12" s="163"/>
      <c r="R12" s="163"/>
      <c r="S12" s="163"/>
      <c r="AC12" s="444">
        <v>14</v>
      </c>
    </row>
    <row r="13" spans="1:29" s="1775" customFormat="1" ht="15.75" customHeight="1">
      <c r="A13" s="2743"/>
      <c r="B13" s="354">
        <v>1</v>
      </c>
      <c r="C13" s="354"/>
      <c r="D13" s="731"/>
      <c r="E13" s="712" t="str">
        <f>A12&amp;"."&amp;B13</f>
        <v>1.1</v>
      </c>
      <c r="F13" s="726" t="s">
        <v>104</v>
      </c>
      <c r="G13" s="724" t="s">
        <v>105</v>
      </c>
      <c r="H13" s="724" t="s">
        <v>105</v>
      </c>
      <c r="I13" s="722" t="s">
        <v>106</v>
      </c>
      <c r="J13" s="437" t="e">
        <f ca="1">MERGEVALUE(G13)</f>
        <v>#NAME?</v>
      </c>
      <c r="K13" s="448"/>
      <c r="L13" s="448"/>
      <c r="M13" s="437" t="str">
        <f t="array" ref="M13">IF(ISERROR(MATCH(MID(N13,1,250),MID(note_ter,1,250),0)),"n","y")</f>
        <v>n</v>
      </c>
      <c r="N13" s="448"/>
      <c r="O13" s="437" t="str">
        <f>H13&amp;"("&amp;I13&amp;")"</f>
        <v>город Тюмень(71701000)</v>
      </c>
      <c r="P13" s="354"/>
      <c r="Q13" s="354"/>
      <c r="R13" s="357"/>
      <c r="S13" s="354"/>
      <c r="T13" s="354"/>
      <c r="U13" s="354"/>
      <c r="V13" s="359"/>
      <c r="W13" s="359"/>
      <c r="X13" s="356"/>
      <c r="Y13" s="356"/>
      <c r="Z13" s="356"/>
      <c r="AA13" s="356"/>
      <c r="AB13" s="356"/>
      <c r="AC13" s="360">
        <v>15</v>
      </c>
    </row>
    <row r="14" spans="1:29" s="1775" customFormat="1" ht="15.75" customHeight="1">
      <c r="A14" s="2743"/>
      <c r="B14" s="354"/>
      <c r="C14" s="349"/>
      <c r="D14" s="732"/>
      <c r="E14" s="358"/>
      <c r="F14" s="115"/>
      <c r="G14" s="352" t="s">
        <v>107</v>
      </c>
      <c r="H14" s="125"/>
      <c r="I14" s="361"/>
      <c r="J14" s="448"/>
      <c r="K14" s="448"/>
      <c r="L14" s="448"/>
      <c r="M14" s="448"/>
      <c r="N14" s="437"/>
      <c r="O14" s="448"/>
      <c r="P14" s="354"/>
      <c r="Q14" s="354"/>
      <c r="R14" s="357"/>
      <c r="S14" s="354"/>
      <c r="T14" s="354"/>
      <c r="U14" s="354"/>
      <c r="V14" s="359"/>
      <c r="W14" s="359"/>
      <c r="X14" s="356"/>
      <c r="Y14" s="356"/>
      <c r="Z14" s="356"/>
      <c r="AA14" s="356"/>
      <c r="AB14" s="356"/>
      <c r="AC14" s="360">
        <v>15</v>
      </c>
    </row>
    <row r="15" spans="1:29" s="1745" customFormat="1" ht="15" customHeight="1">
      <c r="A15" s="693"/>
      <c r="B15" s="354"/>
      <c r="C15" s="693"/>
      <c r="D15" s="713"/>
      <c r="E15" s="725"/>
      <c r="F15" s="116"/>
      <c r="G15" s="353" t="s">
        <v>108</v>
      </c>
      <c r="H15" s="116"/>
      <c r="I15" s="117"/>
      <c r="J15" s="187"/>
      <c r="K15" s="93"/>
      <c r="L15" s="93"/>
      <c r="M15" s="93"/>
      <c r="N15" s="164" t="s">
        <v>109</v>
      </c>
      <c r="O15" s="93"/>
      <c r="P15" s="163"/>
      <c r="Q15" s="163"/>
      <c r="R15" s="163"/>
      <c r="S15" s="163"/>
      <c r="AC15" s="56">
        <v>14</v>
      </c>
    </row>
    <row r="16" spans="1:29" s="1745" customFormat="1" ht="21.75" customHeight="1">
      <c r="A16" s="693"/>
      <c r="B16" s="354"/>
      <c r="C16" s="693"/>
      <c r="D16" s="103"/>
      <c r="E16" s="118"/>
      <c r="F16" s="118"/>
      <c r="G16" s="118"/>
      <c r="H16" s="118"/>
      <c r="I16" s="118"/>
      <c r="J16" s="93"/>
      <c r="K16" s="93"/>
      <c r="L16" s="93"/>
      <c r="M16" s="93"/>
      <c r="N16" s="164"/>
      <c r="O16" s="93"/>
      <c r="P16" s="163"/>
      <c r="Q16" s="163"/>
      <c r="R16" s="163"/>
      <c r="S16" s="163"/>
      <c r="AC16" s="56">
        <v>21</v>
      </c>
    </row>
    <row r="17" spans="1:29" s="1745" customFormat="1" ht="15" customHeight="1">
      <c r="A17" s="693"/>
      <c r="B17" s="354"/>
      <c r="C17" s="693"/>
      <c r="D17" s="103"/>
      <c r="E17" s="23"/>
      <c r="F17" s="693"/>
      <c r="G17" s="23"/>
      <c r="H17" s="23"/>
      <c r="I17" s="23"/>
      <c r="J17" s="93"/>
      <c r="K17" s="93"/>
      <c r="L17" s="93"/>
      <c r="M17" s="93"/>
      <c r="N17" s="164"/>
      <c r="O17" s="93"/>
      <c r="P17" s="163"/>
      <c r="Q17" s="163"/>
      <c r="R17" s="163"/>
      <c r="S17" s="163"/>
      <c r="AC17" s="56">
        <v>14</v>
      </c>
    </row>
    <row r="18" spans="1:29" s="1745" customFormat="1" ht="0.75" customHeight="1">
      <c r="A18" s="693"/>
      <c r="B18" s="354"/>
      <c r="C18" s="693"/>
      <c r="D18" s="103"/>
      <c r="E18" s="23"/>
      <c r="F18" s="693"/>
      <c r="G18" s="23"/>
      <c r="H18" s="23"/>
      <c r="I18" s="23"/>
      <c r="J18" s="93"/>
      <c r="K18" s="93"/>
      <c r="L18" s="93"/>
      <c r="M18" s="93"/>
      <c r="N18" s="164"/>
      <c r="O18" s="93"/>
      <c r="P18" s="163"/>
      <c r="Q18" s="163"/>
      <c r="R18" s="163"/>
      <c r="S18" s="163"/>
      <c r="AC18" s="56">
        <v>1</v>
      </c>
    </row>
    <row r="19" spans="1:29" s="994" customFormat="1" ht="10.5" customHeight="1">
      <c r="B19" s="765"/>
      <c r="D19" s="120"/>
      <c r="J19" s="93"/>
      <c r="K19" s="93"/>
      <c r="L19" s="93"/>
      <c r="M19" s="93"/>
      <c r="N19" s="164"/>
      <c r="O19" s="93"/>
      <c r="P19" s="163"/>
      <c r="Q19" s="163"/>
      <c r="R19" s="163"/>
      <c r="S19" s="163"/>
      <c r="AC19" s="119">
        <v>10</v>
      </c>
    </row>
    <row r="20" spans="1:29" s="994" customFormat="1" ht="10.5" customHeight="1">
      <c r="B20" s="765"/>
      <c r="D20" s="120"/>
      <c r="J20" s="93"/>
      <c r="K20" s="93"/>
      <c r="L20" s="93"/>
      <c r="M20" s="93"/>
      <c r="N20" s="164"/>
      <c r="O20" s="93"/>
      <c r="P20" s="163"/>
      <c r="Q20" s="163"/>
      <c r="R20" s="163"/>
      <c r="S20" s="163"/>
      <c r="AC20" s="119">
        <v>10</v>
      </c>
    </row>
    <row r="21" spans="1:29" ht="15" customHeight="1">
      <c r="AC21" s="23">
        <v>14</v>
      </c>
    </row>
    <row r="22" spans="1:29" ht="15" customHeight="1">
      <c r="AC22" s="23">
        <v>14</v>
      </c>
    </row>
    <row r="23" spans="1:29" ht="15" customHeight="1">
      <c r="AC23" s="23">
        <v>14</v>
      </c>
    </row>
    <row r="24" spans="1:29" ht="15" customHeight="1">
      <c r="H24" s="4"/>
      <c r="AC24" s="23">
        <v>14</v>
      </c>
    </row>
    <row r="25" spans="1:29" ht="15" customHeight="1">
      <c r="AC25" s="23">
        <v>14</v>
      </c>
    </row>
    <row r="26" spans="1:29" ht="15" customHeight="1">
      <c r="AC26" s="23">
        <v>14</v>
      </c>
    </row>
    <row r="27" spans="1:29" ht="15" customHeight="1">
      <c r="AC27" s="23">
        <v>14</v>
      </c>
    </row>
    <row r="28" spans="1:29" ht="15" customHeight="1">
      <c r="J28" s="23"/>
      <c r="K28" s="23"/>
      <c r="L28" s="23"/>
      <c r="AC28" s="23">
        <v>14</v>
      </c>
    </row>
    <row r="29" spans="1:29" ht="22.5" hidden="1" customHeight="1">
      <c r="A29" s="693" t="s">
        <v>87</v>
      </c>
      <c r="B29" s="354">
        <v>0</v>
      </c>
      <c r="C29" s="693">
        <v>3</v>
      </c>
      <c r="D29" s="103">
        <v>3</v>
      </c>
      <c r="E29" s="23">
        <v>6</v>
      </c>
      <c r="F29" s="693">
        <v>0</v>
      </c>
      <c r="G29" s="23">
        <v>46</v>
      </c>
      <c r="H29" s="23">
        <v>42</v>
      </c>
      <c r="I29" s="23">
        <v>14</v>
      </c>
      <c r="J29" s="93">
        <v>3</v>
      </c>
      <c r="K29" s="93">
        <v>0</v>
      </c>
      <c r="L29" s="93">
        <v>0</v>
      </c>
      <c r="M29" s="93">
        <v>0</v>
      </c>
      <c r="N29" s="164">
        <v>0</v>
      </c>
      <c r="O29" s="93">
        <v>0</v>
      </c>
      <c r="P29" s="163">
        <v>0</v>
      </c>
      <c r="Q29" s="163">
        <v>0</v>
      </c>
      <c r="R29" s="163">
        <v>0</v>
      </c>
      <c r="S29" s="163">
        <v>0</v>
      </c>
      <c r="T29" s="23">
        <v>0</v>
      </c>
      <c r="U29" s="23">
        <v>0</v>
      </c>
      <c r="V29" s="23">
        <v>0</v>
      </c>
      <c r="W29" s="23">
        <v>0</v>
      </c>
      <c r="X29" s="23">
        <v>0</v>
      </c>
      <c r="Y29" s="23">
        <v>0</v>
      </c>
      <c r="Z29" s="23">
        <v>0</v>
      </c>
      <c r="AA29" s="23">
        <v>0</v>
      </c>
      <c r="AB29" s="23">
        <v>8</v>
      </c>
      <c r="AC29" s="23">
        <v>23</v>
      </c>
    </row>
  </sheetData>
  <sheetProtection formatColumns="0" formatRows="0" insertRows="0" deleteColumns="0" deleteRows="0" sort="0" autoFilter="0"/>
  <mergeCells count="4">
    <mergeCell ref="A12:A14"/>
    <mergeCell ref="E4:I4"/>
    <mergeCell ref="E8:G8"/>
    <mergeCell ref="H8:I8"/>
  </mergeCells>
  <dataValidations count="1">
    <dataValidation type="textLength" operator="lessThanOrEqual" allowBlank="1" showInputMessage="1" showErrorMessage="1" errorTitle="Ошибка" error="Допускается ввод не более 900 символов!" sqref="G12">
      <formula1>900</formula1>
    </dataValidation>
  </dataValidations>
  <printOptions horizontalCentered="1" verticalCentered="1"/>
  <pageMargins left="0" right="0" top="0" bottom="0" header="0" footer="0.79"/>
  <pageSetup paperSize="9" scale="93" fitToHeight="0" orientation="portrait" blackAndWhite="1"/>
  <headerFooter>
    <oddHeader>&amp;L&amp;C&amp;R</oddHeader>
    <oddFooter>&amp;L&amp;C&amp;R</oddFooter>
    <evenHeader>&amp;L&amp;C&amp;R</evenHeader>
    <evenFooter>&amp;L&amp;C&amp;R</evenFooter>
  </headerFooter>
  <drawing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C1" s="265"/>
      <c r="AN1" s="265"/>
      <c r="AY1" s="1082" t="s">
        <v>14</v>
      </c>
    </row>
    <row r="2" spans="1:51" ht="23.25" hidden="1" customHeight="1">
      <c r="A2" s="1290"/>
      <c r="B2" s="1290"/>
      <c r="C2" s="1290"/>
      <c r="D2" s="1290"/>
      <c r="E2" s="2896">
        <v>1</v>
      </c>
      <c r="F2" s="1290"/>
      <c r="G2" s="1290"/>
      <c r="H2" s="1290"/>
      <c r="I2" s="1290"/>
      <c r="J2" s="1290"/>
      <c r="K2" s="1290"/>
      <c r="L2" s="1291"/>
      <c r="M2" s="1292"/>
      <c r="N2" s="1292"/>
      <c r="O2" s="1292"/>
      <c r="P2" s="298"/>
      <c r="Q2" s="297"/>
      <c r="R2" s="292"/>
      <c r="S2" s="1420" t="e">
        <f>INDEX(PT_DIFFERENTIATION_NUM_NTAR,MATCH(A2,PT_DIFFERENTIATION_NTAR_ID,0))</f>
        <v>#N/A</v>
      </c>
      <c r="T2" s="236" t="s">
        <v>128</v>
      </c>
      <c r="U2" s="238"/>
      <c r="V2" s="2890"/>
      <c r="W2" s="2891"/>
      <c r="X2" s="2891"/>
      <c r="Y2" s="2891"/>
      <c r="Z2" s="2891"/>
      <c r="AA2" s="2891"/>
      <c r="AB2" s="2891"/>
      <c r="AC2" s="2891"/>
      <c r="AD2" s="2891"/>
      <c r="AE2" s="2891"/>
      <c r="AF2" s="2892"/>
      <c r="AG2" s="2890" t="e">
        <f>INDEX(PT_DIFFERENTIATION_NTAR,MATCH(A2,PT_DIFFERENTIATION_NTAR_ID,0))</f>
        <v>#N/A</v>
      </c>
      <c r="AH2" s="2891"/>
      <c r="AI2" s="2891"/>
      <c r="AJ2" s="2891"/>
      <c r="AK2" s="2891"/>
      <c r="AL2" s="2891"/>
      <c r="AM2" s="2891"/>
      <c r="AN2" s="2891"/>
      <c r="AO2" s="2891"/>
      <c r="AP2" s="2891"/>
      <c r="AQ2" s="2891"/>
      <c r="AR2" s="289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897"/>
      <c r="F3" s="2896">
        <v>1</v>
      </c>
      <c r="G3" s="1290"/>
      <c r="H3" s="1290"/>
      <c r="I3" s="1290"/>
      <c r="J3" s="1290"/>
      <c r="K3" s="1290"/>
      <c r="L3" s="1291"/>
      <c r="M3" s="1292"/>
      <c r="N3" s="1292"/>
      <c r="O3" s="1292"/>
      <c r="P3" s="1414"/>
      <c r="Q3" s="289"/>
      <c r="R3" s="290"/>
      <c r="S3" s="1420" t="e">
        <f>INDEX(PT_DIFFERENTIATION_NUM_TER,MATCH(B3,PT_DIFFERENTIATION_TER_ID,0))</f>
        <v>#N/A</v>
      </c>
      <c r="T3" s="246" t="s">
        <v>442</v>
      </c>
      <c r="U3" s="238"/>
      <c r="V3" s="2890"/>
      <c r="W3" s="2891"/>
      <c r="X3" s="2891"/>
      <c r="Y3" s="2891"/>
      <c r="Z3" s="2891"/>
      <c r="AA3" s="2891"/>
      <c r="AB3" s="2891"/>
      <c r="AC3" s="2891"/>
      <c r="AD3" s="2891"/>
      <c r="AE3" s="2891"/>
      <c r="AF3" s="2892"/>
      <c r="AG3" s="2890" t="e">
        <f>INDEX(PT_DIFFERENTIATION_TER,MATCH(B3,PT_DIFFERENTIATION_TER_ID,0))</f>
        <v>#N/A</v>
      </c>
      <c r="AH3" s="2891"/>
      <c r="AI3" s="2891"/>
      <c r="AJ3" s="2891"/>
      <c r="AK3" s="2891"/>
      <c r="AL3" s="2891"/>
      <c r="AM3" s="2891"/>
      <c r="AN3" s="2891"/>
      <c r="AO3" s="2891"/>
      <c r="AP3" s="2891"/>
      <c r="AQ3" s="2891"/>
      <c r="AR3" s="2892"/>
      <c r="AS3" s="1185" t="s">
        <v>443</v>
      </c>
      <c r="AU3" s="437"/>
      <c r="AV3" s="437" t="str">
        <f t="shared" si="0"/>
        <v>Территория действия тарифа</v>
      </c>
      <c r="AW3" s="437"/>
      <c r="AX3" s="437"/>
      <c r="AY3" s="1082">
        <v>0</v>
      </c>
    </row>
    <row r="4" spans="1:51" ht="23.25" hidden="1" customHeight="1">
      <c r="A4" s="1290"/>
      <c r="B4" s="1290"/>
      <c r="C4" s="1290"/>
      <c r="D4" s="1290"/>
      <c r="E4" s="2897"/>
      <c r="F4" s="2897"/>
      <c r="G4" s="2896">
        <v>1</v>
      </c>
      <c r="H4" s="1290"/>
      <c r="I4" s="1290"/>
      <c r="J4" s="1290"/>
      <c r="K4" s="1290"/>
      <c r="L4" s="1291"/>
      <c r="M4" s="1292"/>
      <c r="N4" s="1292"/>
      <c r="O4" s="1292"/>
      <c r="P4" s="291"/>
      <c r="Q4" s="289"/>
      <c r="R4" s="290"/>
      <c r="S4" s="1420" t="e">
        <f>INDEX(PT_DIFFERENTIATION_NUM_CS,MATCH(C4,PT_DIFFERENTIATION_CS_ID,0))</f>
        <v>#N/A</v>
      </c>
      <c r="T4" s="247" t="s">
        <v>576</v>
      </c>
      <c r="U4" s="238"/>
      <c r="V4" s="2890"/>
      <c r="W4" s="2891"/>
      <c r="X4" s="2891"/>
      <c r="Y4" s="2891"/>
      <c r="Z4" s="2891"/>
      <c r="AA4" s="2891"/>
      <c r="AB4" s="2891"/>
      <c r="AC4" s="2891"/>
      <c r="AD4" s="2891"/>
      <c r="AE4" s="2891"/>
      <c r="AF4" s="2892"/>
      <c r="AG4" s="2890" t="e">
        <f>INDEX(PT_DIFFERENTIATION_CS,MATCH(C4,PT_DIFFERENTIATION_CS_ID,0))</f>
        <v>#N/A</v>
      </c>
      <c r="AH4" s="2891"/>
      <c r="AI4" s="2891"/>
      <c r="AJ4" s="2891"/>
      <c r="AK4" s="2891"/>
      <c r="AL4" s="2891"/>
      <c r="AM4" s="2891"/>
      <c r="AN4" s="2891"/>
      <c r="AO4" s="2891"/>
      <c r="AP4" s="2891"/>
      <c r="AQ4" s="2891"/>
      <c r="AR4" s="2892"/>
      <c r="AS4" s="1185" t="s">
        <v>577</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897"/>
      <c r="F5" s="2897"/>
      <c r="G5" s="2897"/>
      <c r="H5" s="2897"/>
      <c r="I5" s="2898" t="e">
        <f>S4&amp;".1"</f>
        <v>#N/A</v>
      </c>
      <c r="J5" s="1290"/>
      <c r="K5" s="1290"/>
      <c r="L5" s="1291"/>
      <c r="P5" s="2900">
        <v>1</v>
      </c>
      <c r="Q5" s="1408"/>
      <c r="R5" s="293"/>
      <c r="S5" s="1420" t="e">
        <f>$I5</f>
        <v>#N/A</v>
      </c>
      <c r="T5" s="223" t="s">
        <v>529</v>
      </c>
      <c r="U5" s="238"/>
      <c r="V5" s="2965"/>
      <c r="W5" s="2966"/>
      <c r="X5" s="2966"/>
      <c r="Y5" s="2966"/>
      <c r="Z5" s="2966"/>
      <c r="AA5" s="2966"/>
      <c r="AB5" s="2966"/>
      <c r="AC5" s="2966"/>
      <c r="AD5" s="2966"/>
      <c r="AE5" s="2966"/>
      <c r="AF5" s="2967"/>
      <c r="AG5" s="2968"/>
      <c r="AH5" s="2969"/>
      <c r="AI5" s="2969"/>
      <c r="AJ5" s="2969"/>
      <c r="AK5" s="2969"/>
      <c r="AL5" s="2969"/>
      <c r="AM5" s="2969"/>
      <c r="AN5" s="2969"/>
      <c r="AO5" s="2969"/>
      <c r="AP5" s="2969"/>
      <c r="AQ5" s="2969"/>
      <c r="AR5" s="2970"/>
      <c r="AS5" s="1185" t="s">
        <v>530</v>
      </c>
      <c r="AU5" s="437"/>
      <c r="AV5" s="437" t="str">
        <f t="shared" si="0"/>
        <v>Наименование признака дифференциации</v>
      </c>
      <c r="AW5" s="437"/>
      <c r="AX5" s="437"/>
      <c r="AY5" s="1082">
        <v>0</v>
      </c>
    </row>
    <row r="6" spans="1:51" ht="23.25" hidden="1" customHeight="1">
      <c r="A6" s="1290"/>
      <c r="B6" s="1290"/>
      <c r="C6" s="1290"/>
      <c r="D6" s="1290"/>
      <c r="E6" s="2897"/>
      <c r="F6" s="2897"/>
      <c r="G6" s="2897"/>
      <c r="H6" s="2897"/>
      <c r="I6" s="2899"/>
      <c r="J6" s="2898" t="e">
        <f>I5&amp;".1"</f>
        <v>#N/A</v>
      </c>
      <c r="K6" s="1290"/>
      <c r="L6" s="1291" t="s">
        <v>451</v>
      </c>
      <c r="P6" s="2900"/>
      <c r="Q6" s="2900">
        <v>1</v>
      </c>
      <c r="R6" s="294"/>
      <c r="S6" s="1420" t="e">
        <f>$J6</f>
        <v>#N/A</v>
      </c>
      <c r="T6" s="224" t="s">
        <v>452</v>
      </c>
      <c r="U6" s="238"/>
      <c r="V6" s="2884"/>
      <c r="W6" s="2885"/>
      <c r="X6" s="2885"/>
      <c r="Y6" s="2885"/>
      <c r="Z6" s="2885"/>
      <c r="AA6" s="2885"/>
      <c r="AB6" s="2885"/>
      <c r="AC6" s="2885"/>
      <c r="AD6" s="2885"/>
      <c r="AE6" s="2885"/>
      <c r="AF6" s="2886"/>
      <c r="AG6" s="2884"/>
      <c r="AH6" s="2885"/>
      <c r="AI6" s="2885"/>
      <c r="AJ6" s="2885"/>
      <c r="AK6" s="2885"/>
      <c r="AL6" s="2885"/>
      <c r="AM6" s="2885"/>
      <c r="AN6" s="2885"/>
      <c r="AO6" s="2885"/>
      <c r="AP6" s="2885"/>
      <c r="AQ6" s="2885"/>
      <c r="AR6" s="2886"/>
      <c r="AS6" s="1234" t="s">
        <v>531</v>
      </c>
      <c r="AU6" s="437"/>
      <c r="AV6" s="437" t="str">
        <f t="shared" si="0"/>
        <v>Группа потребителей</v>
      </c>
      <c r="AW6" s="437"/>
      <c r="AX6" s="437"/>
      <c r="AY6" s="1082">
        <v>0</v>
      </c>
    </row>
    <row r="7" spans="1:51" ht="23.25" hidden="1" customHeight="1">
      <c r="A7" s="1290"/>
      <c r="B7" s="1290"/>
      <c r="C7" s="1290"/>
      <c r="D7" s="1290"/>
      <c r="E7" s="2897"/>
      <c r="F7" s="2897"/>
      <c r="G7" s="2897"/>
      <c r="H7" s="2897"/>
      <c r="I7" s="2899"/>
      <c r="J7" s="2899"/>
      <c r="K7" s="2898" t="e">
        <f>J6&amp;".1"</f>
        <v>#N/A</v>
      </c>
      <c r="L7" s="1291"/>
      <c r="P7" s="2900"/>
      <c r="Q7" s="2900"/>
      <c r="R7" s="294">
        <v>1</v>
      </c>
      <c r="S7" s="1420" t="e">
        <f>$K7</f>
        <v>#N/A</v>
      </c>
      <c r="T7" s="1364"/>
      <c r="U7" s="238"/>
      <c r="V7" s="688"/>
      <c r="W7" s="688"/>
      <c r="X7" s="688"/>
      <c r="Y7" s="688"/>
      <c r="Z7" s="688"/>
      <c r="AA7" s="688"/>
      <c r="AB7" s="688"/>
      <c r="AC7" s="2901"/>
      <c r="AD7" s="2768" t="s">
        <v>71</v>
      </c>
      <c r="AE7" s="2901"/>
      <c r="AF7" s="2768" t="s">
        <v>71</v>
      </c>
      <c r="AG7" s="688"/>
      <c r="AH7" s="688"/>
      <c r="AI7" s="688"/>
      <c r="AJ7" s="688"/>
      <c r="AK7" s="688"/>
      <c r="AL7" s="688"/>
      <c r="AM7" s="688"/>
      <c r="AN7" s="2901"/>
      <c r="AO7" s="2768" t="s">
        <v>71</v>
      </c>
      <c r="AP7" s="2903"/>
      <c r="AQ7" s="2768" t="s">
        <v>71</v>
      </c>
      <c r="AR7" s="1365"/>
      <c r="AS7" s="29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897"/>
      <c r="F8" s="2897"/>
      <c r="G8" s="2897"/>
      <c r="H8" s="2897"/>
      <c r="I8" s="2899"/>
      <c r="J8" s="2899"/>
      <c r="K8" s="2898"/>
      <c r="L8" s="1291"/>
      <c r="P8" s="2900"/>
      <c r="Q8" s="2900"/>
      <c r="R8" s="294"/>
      <c r="S8" s="1417"/>
      <c r="T8" s="238"/>
      <c r="U8" s="238"/>
      <c r="V8" s="263"/>
      <c r="W8" s="263"/>
      <c r="X8" s="263"/>
      <c r="Y8" s="263"/>
      <c r="Z8" s="263"/>
      <c r="AA8" s="263"/>
      <c r="AB8" s="263"/>
      <c r="AC8" s="2902"/>
      <c r="AD8" s="2768"/>
      <c r="AE8" s="2902"/>
      <c r="AF8" s="2768"/>
      <c r="AG8" s="263"/>
      <c r="AH8" s="263"/>
      <c r="AI8" s="263"/>
      <c r="AJ8" s="263"/>
      <c r="AK8" s="263"/>
      <c r="AL8" s="263"/>
      <c r="AM8" s="263"/>
      <c r="AN8" s="2902"/>
      <c r="AO8" s="2768"/>
      <c r="AP8" s="2904"/>
      <c r="AQ8" s="2768"/>
      <c r="AR8" s="1366"/>
      <c r="AS8" s="2971"/>
      <c r="AU8" s="437"/>
      <c r="AV8" s="437" t="str">
        <f t="shared" si="0"/>
        <v/>
      </c>
      <c r="AW8" s="437"/>
      <c r="AX8" s="437"/>
      <c r="AY8" s="1082">
        <v>0</v>
      </c>
    </row>
    <row r="9" spans="1:51" ht="21" hidden="1" customHeight="1">
      <c r="A9" s="1290"/>
      <c r="B9" s="1290"/>
      <c r="C9" s="1290"/>
      <c r="D9" s="1290"/>
      <c r="E9" s="2897"/>
      <c r="F9" s="2897"/>
      <c r="G9" s="2897"/>
      <c r="H9" s="2897"/>
      <c r="I9" s="2899"/>
      <c r="J9" s="2898"/>
      <c r="K9" s="1290"/>
      <c r="L9" s="1291"/>
      <c r="P9" s="2900"/>
      <c r="Q9" s="2900"/>
      <c r="R9" s="293"/>
      <c r="S9" s="1205"/>
      <c r="T9" s="225" t="s">
        <v>532</v>
      </c>
      <c r="U9" s="304"/>
      <c r="V9" s="304"/>
      <c r="W9" s="537"/>
      <c r="X9" s="537"/>
      <c r="Y9" s="537"/>
      <c r="Z9" s="537"/>
      <c r="AA9" s="537"/>
      <c r="AB9" s="537"/>
      <c r="AC9" s="304"/>
      <c r="AD9" s="304"/>
      <c r="AE9" s="304"/>
      <c r="AF9" s="304"/>
      <c r="AG9" s="304"/>
      <c r="AH9" s="537"/>
      <c r="AI9" s="537"/>
      <c r="AJ9" s="537"/>
      <c r="AK9" s="537"/>
      <c r="AL9" s="537"/>
      <c r="AM9" s="304"/>
      <c r="AN9" s="304"/>
      <c r="AO9" s="304"/>
      <c r="AP9" s="304"/>
      <c r="AQ9" s="304"/>
      <c r="AR9" s="304"/>
      <c r="AS9" s="1185" t="s">
        <v>533</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897"/>
      <c r="F10" s="2897"/>
      <c r="G10" s="2897"/>
      <c r="H10" s="2897"/>
      <c r="I10" s="2898"/>
      <c r="J10" s="1290"/>
      <c r="K10" s="1290"/>
      <c r="L10" s="1291"/>
      <c r="P10" s="2900"/>
      <c r="Q10" s="1408"/>
      <c r="R10" s="293"/>
      <c r="S10" s="1205"/>
      <c r="T10" s="302" t="s">
        <v>457</v>
      </c>
      <c r="U10" s="304"/>
      <c r="V10" s="304"/>
      <c r="W10" s="537"/>
      <c r="X10" s="537"/>
      <c r="Y10" s="537"/>
      <c r="Z10" s="537"/>
      <c r="AA10" s="537"/>
      <c r="AB10" s="537"/>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897"/>
      <c r="F11" s="2897"/>
      <c r="G11" s="2897"/>
      <c r="H11" s="2896"/>
      <c r="I11" s="1290"/>
      <c r="J11" s="1290"/>
      <c r="K11" s="1290"/>
      <c r="L11" s="1291"/>
      <c r="M11" s="1292"/>
      <c r="N11" s="1292"/>
      <c r="O11" s="474"/>
      <c r="P11" s="297"/>
      <c r="Q11" s="312"/>
      <c r="R11" s="292"/>
      <c r="S11" s="1205"/>
      <c r="T11" s="309" t="s">
        <v>534</v>
      </c>
      <c r="U11" s="304"/>
      <c r="V11" s="304"/>
      <c r="W11" s="537"/>
      <c r="X11" s="537"/>
      <c r="Y11" s="537"/>
      <c r="Z11" s="537"/>
      <c r="AA11" s="537"/>
      <c r="AB11" s="537"/>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897"/>
      <c r="F12" s="2896"/>
      <c r="G12" s="1241"/>
      <c r="H12" s="1241"/>
      <c r="I12" s="1241"/>
      <c r="J12" s="1241"/>
      <c r="K12" s="1241"/>
      <c r="L12" s="1421"/>
      <c r="M12" s="1248"/>
      <c r="N12" s="1248"/>
      <c r="P12" s="1243"/>
      <c r="Q12" s="1244"/>
      <c r="R12" s="1243"/>
      <c r="S12" s="1249"/>
      <c r="T12" s="1252" t="s">
        <v>176</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896"/>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7"/>
      <c r="AN15" s="2894"/>
      <c r="AO15" s="2893" t="s">
        <v>71</v>
      </c>
      <c r="AP15" s="2894"/>
      <c r="AQ15" s="2893" t="s">
        <v>71</v>
      </c>
      <c r="AY15" s="1082">
        <v>0</v>
      </c>
    </row>
    <row r="16" spans="1:51" ht="14.25" hidden="1" customHeight="1">
      <c r="AG16" s="1287"/>
      <c r="AH16" s="1287"/>
      <c r="AI16" s="1287"/>
      <c r="AJ16" s="1287"/>
      <c r="AK16" s="1287"/>
      <c r="AL16" s="1287"/>
      <c r="AM16" s="1287"/>
      <c r="AN16" s="2893"/>
      <c r="AO16" s="2893"/>
      <c r="AP16" s="2893"/>
      <c r="AQ16" s="2893"/>
      <c r="AY16" s="1082">
        <v>0</v>
      </c>
    </row>
    <row r="17" spans="1:51" ht="14.25" hidden="1" customHeight="1">
      <c r="AQ17" s="265"/>
      <c r="AY17" s="1082">
        <v>0</v>
      </c>
    </row>
    <row r="18" spans="1:51" s="1293" customFormat="1" ht="22.5" hidden="1" customHeight="1">
      <c r="L18" s="1405"/>
      <c r="M18" s="1289"/>
      <c r="N18" s="1289"/>
      <c r="O18" s="1294" t="s">
        <v>459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460</v>
      </c>
      <c r="P20" s="1289"/>
      <c r="Q20" s="1369"/>
      <c r="R20" s="1369"/>
      <c r="S20" s="666"/>
      <c r="T20" s="1087" t="s">
        <v>461</v>
      </c>
      <c r="AD20" s="124" t="s">
        <v>462</v>
      </c>
      <c r="AF20" s="124" t="s">
        <v>463</v>
      </c>
      <c r="AG20" s="1087" t="s">
        <v>461</v>
      </c>
      <c r="AO20" s="124" t="s">
        <v>464</v>
      </c>
      <c r="AQ20" s="124" t="s">
        <v>463</v>
      </c>
      <c r="AY20" s="1087">
        <v>0</v>
      </c>
    </row>
    <row r="21" spans="1:51" ht="14.25" hidden="1" customHeight="1">
      <c r="O21" s="1291"/>
      <c r="AY21" s="1082">
        <v>0</v>
      </c>
    </row>
    <row r="22" spans="1:51" ht="14.25" hidden="1" customHeight="1">
      <c r="O22" s="1291"/>
      <c r="AY22" s="1082">
        <v>0</v>
      </c>
    </row>
    <row r="23" spans="1:51" ht="15" customHeight="1">
      <c r="Q23" s="313"/>
      <c r="R23" s="313"/>
      <c r="S23" s="1202"/>
      <c r="T23" s="300"/>
      <c r="U23" s="300"/>
      <c r="V23" s="446"/>
      <c r="AC23" s="446"/>
      <c r="AD23" s="446"/>
      <c r="AE23" s="446"/>
      <c r="AF23" s="446"/>
      <c r="AG23" s="446"/>
      <c r="AM23" s="446"/>
      <c r="AN23" s="446"/>
      <c r="AO23" s="446"/>
      <c r="AP23" s="446"/>
      <c r="AQ23" s="446"/>
      <c r="AY23" s="1082">
        <v>14</v>
      </c>
    </row>
    <row r="24" spans="1:51" ht="26.25" customHeight="1">
      <c r="Q24" s="313"/>
      <c r="R24" s="313"/>
      <c r="S24" s="287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1170"/>
      <c r="AY24" s="1082">
        <v>25</v>
      </c>
    </row>
    <row r="25" spans="1:51" ht="15" customHeight="1">
      <c r="Q25" s="313"/>
      <c r="R25" s="313"/>
      <c r="S25" s="2849" t="str">
        <f>IF(org=0,"Не определено",org)</f>
        <v>ТМУП "ТТС"</v>
      </c>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887" t="s">
        <v>46</v>
      </c>
      <c r="T27" s="2887"/>
      <c r="U27" s="1299"/>
      <c r="V27" s="2889" t="str">
        <f>IF(TITLE_NAME_OR_PR_CHANGE="",IF(TITLE_NAME_OR_PR="","",TITLE_NAME_OR_PR),TITLE_NAME_OR_PR_CHANGE)</f>
        <v/>
      </c>
      <c r="W27" s="2889"/>
      <c r="X27" s="2889"/>
      <c r="Y27" s="2889"/>
      <c r="Z27" s="2889"/>
      <c r="AA27" s="2889"/>
      <c r="AB27" s="2889"/>
      <c r="AC27" s="2889"/>
      <c r="AD27" s="2889"/>
      <c r="AE27" s="2889"/>
      <c r="AF27" s="264"/>
      <c r="AG27" s="2889" t="str">
        <f>IF(TITLE_NAME_OR_PR_CHANGE="",IF(TITLE_NAME_OR_PR="","",TITLE_NAME_OR_PR),TITLE_NAME_OR_PR_CHANGE)</f>
        <v/>
      </c>
      <c r="AH27" s="2889"/>
      <c r="AI27" s="2889"/>
      <c r="AJ27" s="2889"/>
      <c r="AK27" s="2889"/>
      <c r="AL27" s="2889"/>
      <c r="AM27" s="2889"/>
      <c r="AN27" s="2889"/>
      <c r="AO27" s="2889"/>
      <c r="AP27" s="2889"/>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887" t="s">
        <v>465</v>
      </c>
      <c r="T28" s="2887"/>
      <c r="U28" s="1299"/>
      <c r="V28" s="2888" t="str">
        <f>IF(TITLE_DATE_PR_CHANGE="",IF(TITLE_DATE_PR="","",TITLE_DATE_PR),TITLE_DATE_PR_CHANGE)</f>
        <v>14.11.2024</v>
      </c>
      <c r="W28" s="2888"/>
      <c r="X28" s="2888"/>
      <c r="Y28" s="2888"/>
      <c r="Z28" s="2888"/>
      <c r="AA28" s="2888"/>
      <c r="AB28" s="2888"/>
      <c r="AC28" s="2888"/>
      <c r="AD28" s="2888"/>
      <c r="AE28" s="2888"/>
      <c r="AF28" s="264"/>
      <c r="AG28" s="2888" t="str">
        <f>IF(TITLE_DATE_PR_CHANGE="",IF(TITLE_DATE_PR="","",TITLE_DATE_PR),TITLE_DATE_PR_CHANGE)</f>
        <v>14.11.2024</v>
      </c>
      <c r="AH28" s="2888"/>
      <c r="AI28" s="2888"/>
      <c r="AJ28" s="2888"/>
      <c r="AK28" s="2888"/>
      <c r="AL28" s="2888"/>
      <c r="AM28" s="2888"/>
      <c r="AN28" s="2888"/>
      <c r="AO28" s="2888"/>
      <c r="AP28" s="2888"/>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887" t="s">
        <v>466</v>
      </c>
      <c r="T29" s="2887"/>
      <c r="U29" s="1299"/>
      <c r="V29" s="2889" t="str">
        <f>IF(TITLE_NUMBER_PR_CHANGE="",IF(TITLE_NUMBER_PR="","",TITLE_NUMBER_PR),TITLE_NUMBER_PR_CHANGE)</f>
        <v>947 от 12.11.2024</v>
      </c>
      <c r="W29" s="2889"/>
      <c r="X29" s="2889"/>
      <c r="Y29" s="2889"/>
      <c r="Z29" s="2889"/>
      <c r="AA29" s="2889"/>
      <c r="AB29" s="2889"/>
      <c r="AC29" s="2889"/>
      <c r="AD29" s="2889"/>
      <c r="AE29" s="2889"/>
      <c r="AF29" s="264"/>
      <c r="AG29" s="2889" t="str">
        <f>IF(TITLE_NUMBER_PR_CHANGE="",IF(TITLE_NUMBER_PR="","",TITLE_NUMBER_PR),TITLE_NUMBER_PR_CHANGE)</f>
        <v>947 от 12.11.2024</v>
      </c>
      <c r="AH29" s="2889"/>
      <c r="AI29" s="2889"/>
      <c r="AJ29" s="2889"/>
      <c r="AK29" s="2889"/>
      <c r="AL29" s="2889"/>
      <c r="AM29" s="2889"/>
      <c r="AN29" s="2889"/>
      <c r="AO29" s="2889"/>
      <c r="AP29" s="2889"/>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887" t="s">
        <v>47</v>
      </c>
      <c r="T30" s="2887"/>
      <c r="U30" s="1299"/>
      <c r="V30" s="2889" t="str">
        <f>IF(TITLE_IST_PUB_CHANGE="",IF(TITLE_IST_PUB="","",TITLE_IST_PUB),TITLE_IST_PUB_CHANGE)</f>
        <v/>
      </c>
      <c r="W30" s="2889"/>
      <c r="X30" s="2889"/>
      <c r="Y30" s="2889"/>
      <c r="Z30" s="2889"/>
      <c r="AA30" s="2889"/>
      <c r="AB30" s="2889"/>
      <c r="AC30" s="2889"/>
      <c r="AD30" s="2889"/>
      <c r="AE30" s="2889"/>
      <c r="AF30" s="264"/>
      <c r="AG30" s="2889" t="str">
        <f>IF(TITLE_IST_PUB_CHANGE="",IF(TITLE_IST_PUB="","",TITLE_IST_PUB),TITLE_IST_PUB_CHANGE)</f>
        <v/>
      </c>
      <c r="AH30" s="2889"/>
      <c r="AI30" s="2889"/>
      <c r="AJ30" s="2889"/>
      <c r="AK30" s="2889"/>
      <c r="AL30" s="2889"/>
      <c r="AM30" s="2889"/>
      <c r="AN30" s="2889"/>
      <c r="AO30" s="2889"/>
      <c r="AP30" s="2889"/>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887" t="s">
        <v>467</v>
      </c>
      <c r="T32" s="2887"/>
      <c r="U32" s="1299"/>
      <c r="V32" s="2888" t="str">
        <f>IF(TITLE_DATE_PR_CHANGE="",IF(TITLE_DATE_PR="","",TITLE_DATE_PR),TITLE_DATE_PR_CHANGE)</f>
        <v>14.11.2024</v>
      </c>
      <c r="W32" s="2888"/>
      <c r="X32" s="2888"/>
      <c r="Y32" s="2888"/>
      <c r="Z32" s="2888"/>
      <c r="AA32" s="2888"/>
      <c r="AB32" s="2888"/>
      <c r="AC32" s="2888"/>
      <c r="AD32" s="2888"/>
      <c r="AE32" s="2888"/>
      <c r="AF32" s="264"/>
      <c r="AG32" s="2888" t="str">
        <f>IF(TITLE_DATE_PR_CHANGE="",IF(TITLE_DATE_PR="","",TITLE_DATE_PR),TITLE_DATE_PR_CHANGE)</f>
        <v>14.11.2024</v>
      </c>
      <c r="AH32" s="2888"/>
      <c r="AI32" s="2888"/>
      <c r="AJ32" s="2888"/>
      <c r="AK32" s="2888"/>
      <c r="AL32" s="2888"/>
      <c r="AM32" s="2888"/>
      <c r="AN32" s="2888"/>
      <c r="AO32" s="2888"/>
      <c r="AP32" s="2888"/>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887" t="s">
        <v>468</v>
      </c>
      <c r="T33" s="2887"/>
      <c r="U33" s="1299"/>
      <c r="V33" s="2889" t="str">
        <f>IF(TITLE_NUMBER_PR_CHANGE="",IF(TITLE_NUMBER_PR="","",TITLE_NUMBER_PR),TITLE_NUMBER_PR_CHANGE)</f>
        <v>947 от 12.11.2024</v>
      </c>
      <c r="W33" s="2889"/>
      <c r="X33" s="2889"/>
      <c r="Y33" s="2889"/>
      <c r="Z33" s="2889"/>
      <c r="AA33" s="2889"/>
      <c r="AB33" s="2889"/>
      <c r="AC33" s="2889"/>
      <c r="AD33" s="2889"/>
      <c r="AE33" s="2889"/>
      <c r="AF33" s="264"/>
      <c r="AG33" s="2889" t="str">
        <f>IF(TITLE_NUMBER_PR_CHANGE="",IF(TITLE_NUMBER_PR="","",TITLE_NUMBER_PR),TITLE_NUMBER_PR_CHANGE)</f>
        <v>947 от 12.11.2024</v>
      </c>
      <c r="AH33" s="2889"/>
      <c r="AI33" s="2889"/>
      <c r="AJ33" s="2889"/>
      <c r="AK33" s="2889"/>
      <c r="AL33" s="2889"/>
      <c r="AM33" s="2889"/>
      <c r="AN33" s="2889"/>
      <c r="AO33" s="2889"/>
      <c r="AP33" s="2889"/>
      <c r="AQ33" s="264"/>
      <c r="AR33" s="264"/>
      <c r="AS33" s="218"/>
      <c r="AT33" s="305"/>
      <c r="AU33" s="305"/>
      <c r="AV33" s="305"/>
      <c r="AW33" s="305"/>
      <c r="AX33" s="305"/>
      <c r="AY33" s="355">
        <v>0</v>
      </c>
    </row>
    <row r="34" spans="1:51" s="1778" customFormat="1" ht="0.75"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1562"/>
      <c r="AC34" s="264"/>
      <c r="AD34" s="264"/>
      <c r="AE34" s="264"/>
      <c r="AF34" s="216" t="s">
        <v>469</v>
      </c>
      <c r="AG34" s="264"/>
      <c r="AH34" s="1562"/>
      <c r="AI34" s="1562"/>
      <c r="AJ34" s="1562"/>
      <c r="AK34" s="1562"/>
      <c r="AL34" s="1562"/>
      <c r="AM34" s="264"/>
      <c r="AN34" s="264"/>
      <c r="AO34" s="264"/>
      <c r="AP34" s="264"/>
      <c r="AQ34" s="216" t="s">
        <v>469</v>
      </c>
      <c r="AT34" s="305"/>
      <c r="AU34" s="305"/>
      <c r="AV34" s="305"/>
      <c r="AW34" s="305"/>
      <c r="AX34" s="305"/>
      <c r="AY34" s="355">
        <v>1</v>
      </c>
    </row>
    <row r="35" spans="1:51" ht="15" customHeight="1">
      <c r="Q35" s="313"/>
      <c r="R35" s="313"/>
      <c r="S35" s="1202"/>
      <c r="T35" s="300"/>
      <c r="U35" s="1171"/>
      <c r="V35" s="2908"/>
      <c r="W35" s="2908"/>
      <c r="X35" s="2908"/>
      <c r="Y35" s="2908"/>
      <c r="Z35" s="2908"/>
      <c r="AA35" s="2908"/>
      <c r="AB35" s="2908"/>
      <c r="AC35" s="2908"/>
      <c r="AD35" s="2908"/>
      <c r="AE35" s="2908"/>
      <c r="AF35" s="2908"/>
      <c r="AG35" s="2908"/>
      <c r="AH35" s="2908"/>
      <c r="AI35" s="2908"/>
      <c r="AJ35" s="2908"/>
      <c r="AK35" s="2908"/>
      <c r="AL35" s="2908"/>
      <c r="AM35" s="2908"/>
      <c r="AN35" s="2908"/>
      <c r="AO35" s="2908"/>
      <c r="AP35" s="2908"/>
      <c r="AQ35" s="2908"/>
      <c r="AY35" s="1082">
        <v>14</v>
      </c>
    </row>
    <row r="36" spans="1:51" ht="15" customHeight="1">
      <c r="Q36" s="313"/>
      <c r="R36" s="313"/>
      <c r="S36" s="2758" t="s">
        <v>345</v>
      </c>
      <c r="T36" s="2758"/>
      <c r="U36" s="2758"/>
      <c r="V36" s="2758"/>
      <c r="W36" s="2758"/>
      <c r="X36" s="2758"/>
      <c r="Y36" s="2758"/>
      <c r="Z36" s="2758"/>
      <c r="AA36" s="2758"/>
      <c r="AB36" s="2758"/>
      <c r="AC36" s="2758"/>
      <c r="AD36" s="2758"/>
      <c r="AE36" s="2758"/>
      <c r="AF36" s="2758"/>
      <c r="AG36" s="2758"/>
      <c r="AH36" s="2758"/>
      <c r="AI36" s="2758"/>
      <c r="AJ36" s="2758"/>
      <c r="AK36" s="2758"/>
      <c r="AL36" s="2758"/>
      <c r="AM36" s="2758"/>
      <c r="AN36" s="2758"/>
      <c r="AO36" s="2758"/>
      <c r="AP36" s="2758"/>
      <c r="AQ36" s="2758"/>
      <c r="AR36" s="2758"/>
      <c r="AS36" s="2758" t="s">
        <v>346</v>
      </c>
      <c r="AY36" s="1082">
        <v>14</v>
      </c>
    </row>
    <row r="37" spans="1:51" ht="15" customHeight="1">
      <c r="Q37" s="313"/>
      <c r="R37" s="313"/>
      <c r="S37" s="2909" t="s">
        <v>93</v>
      </c>
      <c r="T37" s="2857" t="s">
        <v>470</v>
      </c>
      <c r="U37" s="239"/>
      <c r="V37" s="2910" t="s">
        <v>471</v>
      </c>
      <c r="W37" s="2927"/>
      <c r="X37" s="2927"/>
      <c r="Y37" s="2927"/>
      <c r="Z37" s="2927"/>
      <c r="AA37" s="2927"/>
      <c r="AB37" s="2927"/>
      <c r="AC37" s="2911"/>
      <c r="AD37" s="2911"/>
      <c r="AE37" s="2912"/>
      <c r="AF37" s="2913" t="s">
        <v>472</v>
      </c>
      <c r="AG37" s="2910" t="s">
        <v>471</v>
      </c>
      <c r="AH37" s="2911"/>
      <c r="AI37" s="2911"/>
      <c r="AJ37" s="2911"/>
      <c r="AK37" s="2911"/>
      <c r="AL37" s="2911"/>
      <c r="AM37" s="2911"/>
      <c r="AN37" s="2911"/>
      <c r="AO37" s="2911"/>
      <c r="AP37" s="2912"/>
      <c r="AQ37" s="2913" t="s">
        <v>473</v>
      </c>
      <c r="AR37" s="2916" t="s">
        <v>474</v>
      </c>
      <c r="AS37" s="2758"/>
      <c r="AY37" s="1082">
        <v>14</v>
      </c>
    </row>
    <row r="38" spans="1:51" ht="20.25" customHeight="1">
      <c r="Q38" s="313"/>
      <c r="R38" s="313"/>
      <c r="S38" s="2909"/>
      <c r="T38" s="2857"/>
      <c r="U38" s="961"/>
      <c r="V38" s="2758" t="s">
        <v>578</v>
      </c>
      <c r="W38" s="2981" t="s">
        <v>579</v>
      </c>
      <c r="X38" s="2981"/>
      <c r="Y38" s="2981"/>
      <c r="Z38" s="2981" t="s">
        <v>580</v>
      </c>
      <c r="AA38" s="2981"/>
      <c r="AB38" s="2981"/>
      <c r="AC38" s="2830" t="s">
        <v>478</v>
      </c>
      <c r="AD38" s="2939"/>
      <c r="AE38" s="2831"/>
      <c r="AF38" s="2914"/>
      <c r="AG38" s="2758" t="s">
        <v>578</v>
      </c>
      <c r="AH38" s="2981" t="s">
        <v>579</v>
      </c>
      <c r="AI38" s="2981"/>
      <c r="AJ38" s="2981"/>
      <c r="AK38" s="2981" t="s">
        <v>580</v>
      </c>
      <c r="AL38" s="2981"/>
      <c r="AM38" s="2981"/>
      <c r="AN38" s="2830" t="s">
        <v>478</v>
      </c>
      <c r="AO38" s="2939"/>
      <c r="AP38" s="2831"/>
      <c r="AQ38" s="2914"/>
      <c r="AR38" s="2917"/>
      <c r="AS38" s="2758"/>
      <c r="AY38" s="1082">
        <v>19</v>
      </c>
    </row>
    <row r="39" spans="1:51" s="1562" customFormat="1" ht="20.25" customHeight="1">
      <c r="A39" s="1293"/>
      <c r="B39" s="1293"/>
      <c r="C39" s="1293"/>
      <c r="D39" s="1293"/>
      <c r="E39" s="1293"/>
      <c r="F39" s="1293"/>
      <c r="G39" s="1293"/>
      <c r="H39" s="1293"/>
      <c r="I39" s="1293"/>
      <c r="J39" s="1293"/>
      <c r="K39" s="1293"/>
      <c r="L39" s="1873"/>
      <c r="M39" s="1289"/>
      <c r="N39" s="1289"/>
      <c r="O39" s="1289"/>
      <c r="P39" s="1887"/>
      <c r="Q39" s="313"/>
      <c r="R39" s="313"/>
      <c r="S39" s="2909"/>
      <c r="T39" s="2857"/>
      <c r="U39" s="961"/>
      <c r="V39" s="2758"/>
      <c r="W39" s="2981" t="s">
        <v>581</v>
      </c>
      <c r="X39" s="2981" t="s">
        <v>582</v>
      </c>
      <c r="Y39" s="2981"/>
      <c r="Z39" s="2981" t="s">
        <v>583</v>
      </c>
      <c r="AA39" s="2981" t="s">
        <v>582</v>
      </c>
      <c r="AB39" s="2981"/>
      <c r="AC39" s="2835"/>
      <c r="AD39" s="2940"/>
      <c r="AE39" s="2836"/>
      <c r="AF39" s="2914"/>
      <c r="AG39" s="2758"/>
      <c r="AH39" s="2981" t="s">
        <v>581</v>
      </c>
      <c r="AI39" s="2981" t="s">
        <v>582</v>
      </c>
      <c r="AJ39" s="2981"/>
      <c r="AK39" s="2981" t="s">
        <v>583</v>
      </c>
      <c r="AL39" s="2981" t="s">
        <v>582</v>
      </c>
      <c r="AM39" s="2981"/>
      <c r="AN39" s="2835"/>
      <c r="AO39" s="2940"/>
      <c r="AP39" s="2836"/>
      <c r="AQ39" s="2914"/>
      <c r="AR39" s="2917"/>
      <c r="AS39" s="2758"/>
      <c r="AT39" s="1563"/>
      <c r="AU39" s="1563"/>
      <c r="AV39" s="1563"/>
      <c r="AW39" s="1563"/>
      <c r="AX39" s="1563"/>
      <c r="AY39" s="1558">
        <v>19</v>
      </c>
    </row>
    <row r="40" spans="1:51" ht="62.25" customHeight="1">
      <c r="A40" s="1297"/>
      <c r="B40" s="1297" t="s">
        <v>140</v>
      </c>
      <c r="C40" s="1297" t="s">
        <v>141</v>
      </c>
      <c r="D40" s="1297" t="s">
        <v>142</v>
      </c>
      <c r="E40" s="1291" t="s">
        <v>479</v>
      </c>
      <c r="F40" s="1291" t="s">
        <v>480</v>
      </c>
      <c r="G40" s="1291" t="s">
        <v>481</v>
      </c>
      <c r="H40" s="1291"/>
      <c r="I40" s="1291" t="s">
        <v>536</v>
      </c>
      <c r="J40" s="1291" t="s">
        <v>484</v>
      </c>
      <c r="K40" s="1291" t="s">
        <v>537</v>
      </c>
      <c r="L40" s="1291" t="s">
        <v>460</v>
      </c>
      <c r="Q40" s="313"/>
      <c r="R40" s="313"/>
      <c r="S40" s="2909"/>
      <c r="T40" s="2857"/>
      <c r="U40" s="240"/>
      <c r="V40" s="2758"/>
      <c r="W40" s="2981"/>
      <c r="X40" s="1905" t="s">
        <v>584</v>
      </c>
      <c r="Y40" s="1905" t="s">
        <v>585</v>
      </c>
      <c r="Z40" s="2981"/>
      <c r="AA40" s="1905" t="s">
        <v>586</v>
      </c>
      <c r="AB40" s="1905" t="s">
        <v>587</v>
      </c>
      <c r="AC40" s="1416" t="s">
        <v>488</v>
      </c>
      <c r="AD40" s="2862" t="s">
        <v>489</v>
      </c>
      <c r="AE40" s="2876"/>
      <c r="AF40" s="2915"/>
      <c r="AG40" s="2758"/>
      <c r="AH40" s="2981"/>
      <c r="AI40" s="1905" t="s">
        <v>584</v>
      </c>
      <c r="AJ40" s="1905" t="s">
        <v>585</v>
      </c>
      <c r="AK40" s="2981"/>
      <c r="AL40" s="1905" t="s">
        <v>586</v>
      </c>
      <c r="AM40" s="1905" t="s">
        <v>587</v>
      </c>
      <c r="AN40" s="1416" t="s">
        <v>488</v>
      </c>
      <c r="AO40" s="2862" t="s">
        <v>489</v>
      </c>
      <c r="AP40" s="2876"/>
      <c r="AQ40" s="2915"/>
      <c r="AR40" s="2918"/>
      <c r="AS40" s="2758"/>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114</v>
      </c>
      <c r="T41" s="1182" t="s">
        <v>115</v>
      </c>
      <c r="U41" s="1172" t="str">
        <f ca="1">OFFSET(U41,0,-1)</f>
        <v>2</v>
      </c>
      <c r="V41" s="1409">
        <f ca="1">OFFSET(V41,0,-1)+1</f>
        <v>3</v>
      </c>
      <c r="W41" s="1268"/>
      <c r="X41" s="1268"/>
      <c r="Y41" s="1268"/>
      <c r="Z41" s="1268"/>
      <c r="AA41" s="1268"/>
      <c r="AB41" s="1268"/>
      <c r="AC41" s="1409">
        <f ca="1">OFFSET(AC41,0,-1)+1</f>
        <v>1</v>
      </c>
      <c r="AD41" s="2907">
        <f ca="1">OFFSET(AD41,0,-1)+1</f>
        <v>2</v>
      </c>
      <c r="AE41" s="2907"/>
      <c r="AF41" s="1409">
        <f ca="1">OFFSET(AF41,0,-2)+1</f>
        <v>3</v>
      </c>
      <c r="AG41" s="1409">
        <f ca="1">OFFSET(AG41,0,-1)+1</f>
        <v>4</v>
      </c>
      <c r="AH41" s="1878"/>
      <c r="AI41" s="1878"/>
      <c r="AJ41" s="1878"/>
      <c r="AK41" s="1878"/>
      <c r="AL41" s="1878"/>
      <c r="AM41" s="1409">
        <f ca="1">OFFSET(AM41,0,-1)+1</f>
        <v>1</v>
      </c>
      <c r="AN41" s="1409">
        <f ca="1">OFFSET(AN41,0,-1)+1</f>
        <v>2</v>
      </c>
      <c r="AO41" s="2907">
        <f ca="1">OFFSET(AO41,0,-1)+1</f>
        <v>3</v>
      </c>
      <c r="AP41" s="2907"/>
      <c r="AQ41" s="1409">
        <f ca="1">OFFSET(AQ41,0,-2)+1</f>
        <v>4</v>
      </c>
      <c r="AR41" s="1172">
        <f ca="1">OFFSET(AR41,0,-1)</f>
        <v>4</v>
      </c>
      <c r="AS41" s="1409">
        <f ca="1">OFFSET(AS41,0,-1)+1</f>
        <v>5</v>
      </c>
      <c r="AT41" s="448"/>
      <c r="AU41" s="448"/>
      <c r="AV41" s="448"/>
      <c r="AW41" s="448"/>
      <c r="AX41" s="448"/>
      <c r="AY41" s="433">
        <v>0</v>
      </c>
    </row>
    <row r="42" spans="1:51" ht="24" customHeight="1">
      <c r="A42" s="1290" t="s">
        <v>296</v>
      </c>
      <c r="B42" s="1290"/>
      <c r="C42" s="1290"/>
      <c r="D42" s="1290"/>
      <c r="E42" s="289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128</v>
      </c>
      <c r="U42" s="238"/>
      <c r="V42" s="2890"/>
      <c r="W42" s="2891"/>
      <c r="X42" s="2891"/>
      <c r="Y42" s="2891"/>
      <c r="Z42" s="2891"/>
      <c r="AA42" s="2891"/>
      <c r="AB42" s="2891"/>
      <c r="AC42" s="2891"/>
      <c r="AD42" s="2891"/>
      <c r="AE42" s="2891"/>
      <c r="AF42" s="2892"/>
      <c r="AG42" s="2890" t="str">
        <f>INDEX(PT_DIFFERENTIATION_NTAR,MATCH(A42,PT_DIFFERENTIATION_NTAR_ID,0))</f>
        <v/>
      </c>
      <c r="AH42" s="2891"/>
      <c r="AI42" s="2891"/>
      <c r="AJ42" s="2891"/>
      <c r="AK42" s="2891"/>
      <c r="AL42" s="2891"/>
      <c r="AM42" s="2891"/>
      <c r="AN42" s="2891"/>
      <c r="AO42" s="2891"/>
      <c r="AP42" s="2891"/>
      <c r="AQ42" s="2891"/>
      <c r="AR42" s="289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296</v>
      </c>
      <c r="B43" s="1290" t="s">
        <v>297</v>
      </c>
      <c r="C43" s="1290"/>
      <c r="D43" s="1290"/>
      <c r="E43" s="2897"/>
      <c r="F43" s="2896">
        <v>1</v>
      </c>
      <c r="G43" s="1290"/>
      <c r="H43" s="1290"/>
      <c r="I43" s="1290"/>
      <c r="J43" s="1290"/>
      <c r="K43" s="1290"/>
      <c r="L43" s="1291"/>
      <c r="M43" s="1292"/>
      <c r="N43" s="1292"/>
      <c r="O43" s="1292"/>
      <c r="P43" s="1414"/>
      <c r="Q43" s="289"/>
      <c r="R43" s="290"/>
      <c r="S43" s="1420" t="str">
        <f>INDEX(PT_DIFFERENTIATION_NUM_TER,MATCH(B43,PT_DIFFERENTIATION_TER_ID,0))</f>
        <v>.</v>
      </c>
      <c r="T43" s="246" t="s">
        <v>442</v>
      </c>
      <c r="U43" s="238"/>
      <c r="V43" s="2890"/>
      <c r="W43" s="2891"/>
      <c r="X43" s="2891"/>
      <c r="Y43" s="2891"/>
      <c r="Z43" s="2891"/>
      <c r="AA43" s="2891"/>
      <c r="AB43" s="2891"/>
      <c r="AC43" s="2891"/>
      <c r="AD43" s="2891"/>
      <c r="AE43" s="2891"/>
      <c r="AF43" s="2892"/>
      <c r="AG43" s="2890" t="str">
        <f>INDEX(PT_DIFFERENTIATION_TER,MATCH(B43,PT_DIFFERENTIATION_TER_ID,0))</f>
        <v/>
      </c>
      <c r="AH43" s="2891"/>
      <c r="AI43" s="2891"/>
      <c r="AJ43" s="2891"/>
      <c r="AK43" s="2891"/>
      <c r="AL43" s="2891"/>
      <c r="AM43" s="2891"/>
      <c r="AN43" s="2891"/>
      <c r="AO43" s="2891"/>
      <c r="AP43" s="2891"/>
      <c r="AQ43" s="2891"/>
      <c r="AR43" s="2892"/>
      <c r="AS43" s="1185" t="s">
        <v>443</v>
      </c>
      <c r="AU43" s="437"/>
      <c r="AV43" s="437" t="str">
        <f t="shared" si="1"/>
        <v>Территория действия тарифа</v>
      </c>
      <c r="AW43" s="437"/>
      <c r="AX43" s="437"/>
      <c r="AY43" s="1082">
        <v>23</v>
      </c>
    </row>
    <row r="44" spans="1:51" ht="24" customHeight="1">
      <c r="A44" s="1290" t="s">
        <v>296</v>
      </c>
      <c r="B44" s="1290" t="s">
        <v>297</v>
      </c>
      <c r="C44" s="1290" t="s">
        <v>298</v>
      </c>
      <c r="D44" s="1290"/>
      <c r="E44" s="2897"/>
      <c r="F44" s="2897"/>
      <c r="G44" s="2896">
        <v>1</v>
      </c>
      <c r="H44" s="1290"/>
      <c r="I44" s="1290"/>
      <c r="J44" s="1290"/>
      <c r="K44" s="1290"/>
      <c r="L44" s="1291"/>
      <c r="M44" s="1292"/>
      <c r="N44" s="1292"/>
      <c r="O44" s="1292"/>
      <c r="P44" s="291"/>
      <c r="Q44" s="289"/>
      <c r="R44" s="290"/>
      <c r="S44" s="1420" t="str">
        <f>INDEX(PT_DIFFERENTIATION_NUM_CS,MATCH(C44,PT_DIFFERENTIATION_CS_ID,0))</f>
        <v>..</v>
      </c>
      <c r="T44" s="247" t="s">
        <v>576</v>
      </c>
      <c r="U44" s="238"/>
      <c r="V44" s="2890"/>
      <c r="W44" s="2891"/>
      <c r="X44" s="2891"/>
      <c r="Y44" s="2891"/>
      <c r="Z44" s="2891"/>
      <c r="AA44" s="2891"/>
      <c r="AB44" s="2891"/>
      <c r="AC44" s="2891"/>
      <c r="AD44" s="2891"/>
      <c r="AE44" s="2891"/>
      <c r="AF44" s="2892"/>
      <c r="AG44" s="2890" t="str">
        <f>INDEX(PT_DIFFERENTIATION_CS,MATCH(C44,PT_DIFFERENTIATION_CS_ID,0))</f>
        <v/>
      </c>
      <c r="AH44" s="2891"/>
      <c r="AI44" s="2891"/>
      <c r="AJ44" s="2891"/>
      <c r="AK44" s="2891"/>
      <c r="AL44" s="2891"/>
      <c r="AM44" s="2891"/>
      <c r="AN44" s="2891"/>
      <c r="AO44" s="2891"/>
      <c r="AP44" s="2891"/>
      <c r="AQ44" s="2891"/>
      <c r="AR44" s="2892"/>
      <c r="AS44" s="1185" t="s">
        <v>577</v>
      </c>
      <c r="AU44" s="437"/>
      <c r="AV44" s="437" t="str">
        <f t="shared" si="1"/>
        <v>Наименование централизованной системы горячего водоснабжения</v>
      </c>
      <c r="AW44" s="437"/>
      <c r="AX44" s="437"/>
      <c r="AY44" s="1082">
        <v>23</v>
      </c>
    </row>
    <row r="45" spans="1:51" ht="24" customHeight="1">
      <c r="A45" s="1290" t="s">
        <v>296</v>
      </c>
      <c r="B45" s="1290" t="s">
        <v>297</v>
      </c>
      <c r="C45" s="1290" t="s">
        <v>298</v>
      </c>
      <c r="D45" s="1290" t="s">
        <v>588</v>
      </c>
      <c r="E45" s="2897"/>
      <c r="F45" s="2897"/>
      <c r="G45" s="2897"/>
      <c r="H45" s="2897"/>
      <c r="I45" s="2898" t="str">
        <f>S44&amp;".1"</f>
        <v>...1</v>
      </c>
      <c r="J45" s="1290"/>
      <c r="K45" s="1290"/>
      <c r="L45" s="1291"/>
      <c r="P45" s="2900">
        <v>1</v>
      </c>
      <c r="Q45" s="1408"/>
      <c r="R45" s="293"/>
      <c r="S45" s="1420" t="str">
        <f>$I45</f>
        <v>...1</v>
      </c>
      <c r="T45" s="223" t="s">
        <v>529</v>
      </c>
      <c r="U45" s="238"/>
      <c r="V45" s="2965"/>
      <c r="W45" s="2966"/>
      <c r="X45" s="2966"/>
      <c r="Y45" s="2966"/>
      <c r="Z45" s="2966"/>
      <c r="AA45" s="2966"/>
      <c r="AB45" s="2966"/>
      <c r="AC45" s="2966"/>
      <c r="AD45" s="2966"/>
      <c r="AE45" s="2966"/>
      <c r="AF45" s="2967"/>
      <c r="AG45" s="2968"/>
      <c r="AH45" s="2969"/>
      <c r="AI45" s="2969"/>
      <c r="AJ45" s="2969"/>
      <c r="AK45" s="2969"/>
      <c r="AL45" s="2969"/>
      <c r="AM45" s="2969"/>
      <c r="AN45" s="2969"/>
      <c r="AO45" s="2969"/>
      <c r="AP45" s="2969"/>
      <c r="AQ45" s="2969"/>
      <c r="AR45" s="2970"/>
      <c r="AS45" s="1185" t="s">
        <v>530</v>
      </c>
      <c r="AU45" s="437"/>
      <c r="AV45" s="437" t="str">
        <f t="shared" si="1"/>
        <v>Наименование признака дифференциации</v>
      </c>
      <c r="AW45" s="437"/>
      <c r="AX45" s="437"/>
      <c r="AY45" s="1082">
        <v>23</v>
      </c>
    </row>
    <row r="46" spans="1:51" ht="24" customHeight="1">
      <c r="A46" s="1290" t="s">
        <v>296</v>
      </c>
      <c r="B46" s="1290" t="s">
        <v>297</v>
      </c>
      <c r="C46" s="1290" t="s">
        <v>298</v>
      </c>
      <c r="D46" s="1290" t="s">
        <v>588</v>
      </c>
      <c r="E46" s="2897"/>
      <c r="F46" s="2897"/>
      <c r="G46" s="2897"/>
      <c r="H46" s="2897"/>
      <c r="I46" s="2899"/>
      <c r="J46" s="2898" t="str">
        <f>I45&amp;".1"</f>
        <v>...1.1</v>
      </c>
      <c r="K46" s="1290"/>
      <c r="L46" s="1291" t="s">
        <v>451</v>
      </c>
      <c r="P46" s="2900"/>
      <c r="Q46" s="2900">
        <v>1</v>
      </c>
      <c r="R46" s="294"/>
      <c r="S46" s="1420" t="str">
        <f>$J46</f>
        <v>...1.1</v>
      </c>
      <c r="T46" s="224" t="s">
        <v>452</v>
      </c>
      <c r="U46" s="238"/>
      <c r="V46" s="2884"/>
      <c r="W46" s="2885"/>
      <c r="X46" s="2885"/>
      <c r="Y46" s="2885"/>
      <c r="Z46" s="2885"/>
      <c r="AA46" s="2885"/>
      <c r="AB46" s="2885"/>
      <c r="AC46" s="2885"/>
      <c r="AD46" s="2885"/>
      <c r="AE46" s="2885"/>
      <c r="AF46" s="2886"/>
      <c r="AG46" s="2884"/>
      <c r="AH46" s="2885"/>
      <c r="AI46" s="2885"/>
      <c r="AJ46" s="2885"/>
      <c r="AK46" s="2885"/>
      <c r="AL46" s="2885"/>
      <c r="AM46" s="2885"/>
      <c r="AN46" s="2885"/>
      <c r="AO46" s="2885"/>
      <c r="AP46" s="2885"/>
      <c r="AQ46" s="2885"/>
      <c r="AR46" s="2886"/>
      <c r="AS46" s="1234" t="s">
        <v>531</v>
      </c>
      <c r="AU46" s="437"/>
      <c r="AV46" s="437" t="str">
        <f t="shared" si="1"/>
        <v>Группа потребителей</v>
      </c>
      <c r="AW46" s="437"/>
      <c r="AX46" s="437"/>
      <c r="AY46" s="1082">
        <v>23</v>
      </c>
    </row>
    <row r="47" spans="1:51" ht="24" customHeight="1">
      <c r="A47" s="1290" t="s">
        <v>296</v>
      </c>
      <c r="B47" s="1290" t="s">
        <v>297</v>
      </c>
      <c r="C47" s="1290" t="s">
        <v>298</v>
      </c>
      <c r="D47" s="1290" t="s">
        <v>588</v>
      </c>
      <c r="E47" s="2897"/>
      <c r="F47" s="2897"/>
      <c r="G47" s="2897"/>
      <c r="H47" s="2897"/>
      <c r="I47" s="2899"/>
      <c r="J47" s="2899"/>
      <c r="K47" s="2898" t="str">
        <f>J46&amp;".1"</f>
        <v>...1.1.1</v>
      </c>
      <c r="L47" s="1291"/>
      <c r="P47" s="2900"/>
      <c r="Q47" s="2900"/>
      <c r="R47" s="294">
        <v>1</v>
      </c>
      <c r="S47" s="1420" t="str">
        <f>$K47</f>
        <v>...1.1.1</v>
      </c>
      <c r="T47" s="1364"/>
      <c r="U47" s="238"/>
      <c r="V47" s="688"/>
      <c r="W47" s="688"/>
      <c r="X47" s="688"/>
      <c r="Y47" s="688"/>
      <c r="Z47" s="688"/>
      <c r="AA47" s="688"/>
      <c r="AB47" s="688"/>
      <c r="AC47" s="2894"/>
      <c r="AD47" s="2893" t="s">
        <v>71</v>
      </c>
      <c r="AE47" s="2894"/>
      <c r="AF47" s="2893" t="s">
        <v>71</v>
      </c>
      <c r="AG47" s="688"/>
      <c r="AH47" s="688"/>
      <c r="AI47" s="688"/>
      <c r="AJ47" s="688"/>
      <c r="AK47" s="688"/>
      <c r="AL47" s="688"/>
      <c r="AM47" s="688"/>
      <c r="AN47" s="2901"/>
      <c r="AO47" s="2768" t="s">
        <v>71</v>
      </c>
      <c r="AP47" s="2903"/>
      <c r="AQ47" s="2768" t="s">
        <v>19</v>
      </c>
      <c r="AR47" s="1365"/>
      <c r="AS47" s="29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296</v>
      </c>
      <c r="B48" s="1290" t="s">
        <v>297</v>
      </c>
      <c r="C48" s="1290" t="s">
        <v>298</v>
      </c>
      <c r="D48" s="1290" t="s">
        <v>588</v>
      </c>
      <c r="E48" s="2897"/>
      <c r="F48" s="2897"/>
      <c r="G48" s="2897"/>
      <c r="H48" s="2897"/>
      <c r="I48" s="2899"/>
      <c r="J48" s="2899"/>
      <c r="K48" s="2898"/>
      <c r="L48" s="1291"/>
      <c r="P48" s="2900"/>
      <c r="Q48" s="2900"/>
      <c r="R48" s="294"/>
      <c r="S48" s="1417"/>
      <c r="T48" s="238"/>
      <c r="U48" s="238"/>
      <c r="V48" s="1287"/>
      <c r="W48" s="1287"/>
      <c r="X48" s="1287"/>
      <c r="Y48" s="1287"/>
      <c r="Z48" s="1287"/>
      <c r="AA48" s="1287"/>
      <c r="AB48" s="1287"/>
      <c r="AC48" s="2893"/>
      <c r="AD48" s="2893"/>
      <c r="AE48" s="2893"/>
      <c r="AF48" s="2893"/>
      <c r="AG48" s="263"/>
      <c r="AH48" s="263"/>
      <c r="AI48" s="263"/>
      <c r="AJ48" s="263"/>
      <c r="AK48" s="263"/>
      <c r="AL48" s="263"/>
      <c r="AM48" s="263"/>
      <c r="AN48" s="2902"/>
      <c r="AO48" s="2768"/>
      <c r="AP48" s="2904"/>
      <c r="AQ48" s="2768"/>
      <c r="AR48" s="1366"/>
      <c r="AS48" s="2971"/>
      <c r="AU48" s="437"/>
      <c r="AV48" s="437" t="str">
        <f t="shared" si="1"/>
        <v/>
      </c>
      <c r="AW48" s="437"/>
      <c r="AX48" s="437"/>
      <c r="AY48" s="1082">
        <v>0</v>
      </c>
    </row>
    <row r="49" spans="1:51" ht="21" customHeight="1">
      <c r="A49" s="1290" t="s">
        <v>296</v>
      </c>
      <c r="B49" s="1290" t="s">
        <v>297</v>
      </c>
      <c r="C49" s="1290" t="s">
        <v>298</v>
      </c>
      <c r="D49" s="1290" t="s">
        <v>588</v>
      </c>
      <c r="E49" s="2897"/>
      <c r="F49" s="2897"/>
      <c r="G49" s="2897"/>
      <c r="H49" s="2897"/>
      <c r="I49" s="2899"/>
      <c r="J49" s="2898"/>
      <c r="K49" s="1290"/>
      <c r="L49" s="1291"/>
      <c r="P49" s="2900"/>
      <c r="Q49" s="2900"/>
      <c r="R49" s="293"/>
      <c r="S49" s="1205"/>
      <c r="T49" s="225" t="s">
        <v>532</v>
      </c>
      <c r="U49" s="304"/>
      <c r="V49" s="304"/>
      <c r="W49" s="537"/>
      <c r="X49" s="537"/>
      <c r="Y49" s="537"/>
      <c r="Z49" s="537"/>
      <c r="AA49" s="537"/>
      <c r="AB49" s="537"/>
      <c r="AC49" s="304"/>
      <c r="AD49" s="304"/>
      <c r="AE49" s="304"/>
      <c r="AF49" s="304"/>
      <c r="AG49" s="304"/>
      <c r="AH49" s="537"/>
      <c r="AI49" s="537"/>
      <c r="AJ49" s="537"/>
      <c r="AK49" s="537"/>
      <c r="AL49" s="537"/>
      <c r="AM49" s="304"/>
      <c r="AN49" s="304"/>
      <c r="AO49" s="304"/>
      <c r="AP49" s="304"/>
      <c r="AQ49" s="304"/>
      <c r="AR49" s="304"/>
      <c r="AS49" s="1185" t="s">
        <v>533</v>
      </c>
      <c r="AU49" s="437"/>
      <c r="AV49" s="437" t="str">
        <f t="shared" si="1"/>
        <v>Добавить значение признака дифференциации</v>
      </c>
      <c r="AW49" s="437"/>
      <c r="AX49" s="437"/>
      <c r="AY49" s="1082">
        <v>20</v>
      </c>
    </row>
    <row r="50" spans="1:51" ht="21.75" customHeight="1">
      <c r="A50" s="1290" t="s">
        <v>296</v>
      </c>
      <c r="B50" s="1290" t="s">
        <v>297</v>
      </c>
      <c r="C50" s="1290" t="s">
        <v>298</v>
      </c>
      <c r="D50" s="1290" t="s">
        <v>588</v>
      </c>
      <c r="E50" s="2897"/>
      <c r="F50" s="2897"/>
      <c r="G50" s="2897"/>
      <c r="H50" s="2897"/>
      <c r="I50" s="2898"/>
      <c r="J50" s="1290"/>
      <c r="K50" s="1290"/>
      <c r="L50" s="1291"/>
      <c r="P50" s="2900"/>
      <c r="Q50" s="1408"/>
      <c r="R50" s="293"/>
      <c r="S50" s="1205"/>
      <c r="T50" s="302" t="s">
        <v>457</v>
      </c>
      <c r="U50" s="304"/>
      <c r="V50" s="304"/>
      <c r="W50" s="537"/>
      <c r="X50" s="537"/>
      <c r="Y50" s="537"/>
      <c r="Z50" s="537"/>
      <c r="AA50" s="537"/>
      <c r="AB50" s="537"/>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75" customHeight="1">
      <c r="A51" s="1290" t="s">
        <v>296</v>
      </c>
      <c r="B51" s="1290" t="s">
        <v>297</v>
      </c>
      <c r="C51" s="1290" t="s">
        <v>298</v>
      </c>
      <c r="D51" s="1290" t="s">
        <v>588</v>
      </c>
      <c r="E51" s="2897"/>
      <c r="F51" s="2897"/>
      <c r="G51" s="2897"/>
      <c r="H51" s="2896"/>
      <c r="I51" s="1290"/>
      <c r="J51" s="1290"/>
      <c r="K51" s="1290"/>
      <c r="L51" s="1291"/>
      <c r="M51" s="1292"/>
      <c r="N51" s="1292"/>
      <c r="O51" s="474"/>
      <c r="P51" s="297"/>
      <c r="Q51" s="312"/>
      <c r="R51" s="292"/>
      <c r="S51" s="1205"/>
      <c r="T51" s="309" t="s">
        <v>534</v>
      </c>
      <c r="U51" s="304"/>
      <c r="V51" s="304"/>
      <c r="W51" s="537"/>
      <c r="X51" s="537"/>
      <c r="Y51" s="537"/>
      <c r="Z51" s="537"/>
      <c r="AA51" s="537"/>
      <c r="AB51" s="537"/>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296</v>
      </c>
      <c r="B52" s="1270" t="s">
        <v>297</v>
      </c>
      <c r="C52" s="1241"/>
      <c r="D52" s="1241"/>
      <c r="E52" s="2897"/>
      <c r="F52" s="2896"/>
      <c r="G52" s="1241"/>
      <c r="H52" s="1241"/>
      <c r="I52" s="1241"/>
      <c r="J52" s="1241"/>
      <c r="K52" s="1241"/>
      <c r="L52" s="1421"/>
      <c r="M52" s="1248"/>
      <c r="N52" s="1248"/>
      <c r="P52" s="1243"/>
      <c r="Q52" s="1244"/>
      <c r="R52" s="1243"/>
      <c r="S52" s="1249"/>
      <c r="T52" s="1252" t="s">
        <v>176</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296</v>
      </c>
      <c r="B53" s="1270"/>
      <c r="C53" s="1270"/>
      <c r="D53" s="1270"/>
      <c r="E53" s="2896"/>
      <c r="F53" s="1270"/>
      <c r="G53" s="1270"/>
      <c r="H53" s="1270"/>
      <c r="I53" s="1270"/>
      <c r="J53" s="1270"/>
      <c r="K53" s="1270"/>
      <c r="L53" s="1273"/>
      <c r="M53" s="1248"/>
      <c r="N53" s="1248"/>
      <c r="O53" s="455"/>
      <c r="P53" s="317"/>
      <c r="Q53" s="1271"/>
      <c r="R53" s="317"/>
      <c r="S53" s="1249"/>
      <c r="T53" s="1252" t="s">
        <v>178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25" customHeight="1">
      <c r="M55" s="1087"/>
      <c r="N55" s="1087"/>
      <c r="O55" s="474"/>
      <c r="P55" s="1082"/>
      <c r="Q55" s="1082"/>
      <c r="R55" s="1082"/>
      <c r="S55" s="1082"/>
      <c r="AT55" s="1082"/>
      <c r="AU55" s="1082"/>
      <c r="AV55" s="1082"/>
      <c r="AW55" s="1082"/>
      <c r="AX55" s="1082"/>
      <c r="AY55" s="1082">
        <v>11</v>
      </c>
    </row>
    <row r="56" spans="1:51" ht="15" customHeight="1">
      <c r="O56" s="474"/>
      <c r="S56" s="1180"/>
      <c r="T56" s="2895"/>
      <c r="U56" s="2895"/>
      <c r="V56" s="2895"/>
      <c r="W56" s="2895"/>
      <c r="X56" s="2895"/>
      <c r="Y56" s="2895"/>
      <c r="Z56" s="2895"/>
      <c r="AA56" s="2895"/>
      <c r="AB56" s="2895"/>
      <c r="AC56" s="2895"/>
      <c r="AD56" s="2895"/>
      <c r="AE56" s="2895"/>
      <c r="AF56" s="2895"/>
      <c r="AG56" s="2895"/>
      <c r="AH56" s="2895"/>
      <c r="AI56" s="2895"/>
      <c r="AJ56" s="2895"/>
      <c r="AK56" s="2895"/>
      <c r="AL56" s="2895"/>
      <c r="AM56" s="2895"/>
      <c r="AN56" s="2895"/>
      <c r="AO56" s="2895"/>
      <c r="AP56" s="2895"/>
      <c r="AQ56" s="2895"/>
      <c r="AR56" s="2895"/>
      <c r="AS56" s="2895"/>
      <c r="AY56" s="1082">
        <v>14</v>
      </c>
    </row>
    <row r="57" spans="1:51" ht="15" customHeight="1">
      <c r="O57" s="474"/>
      <c r="AY57" s="1082">
        <v>14</v>
      </c>
    </row>
    <row r="58" spans="1:51" ht="15" customHeight="1">
      <c r="O58" s="474"/>
      <c r="S58" s="1180"/>
      <c r="T58" s="2895"/>
      <c r="U58" s="2895"/>
      <c r="V58" s="2895"/>
      <c r="W58" s="2895"/>
      <c r="X58" s="2895"/>
      <c r="Y58" s="2895"/>
      <c r="Z58" s="2895"/>
      <c r="AA58" s="2895"/>
      <c r="AB58" s="2895"/>
      <c r="AC58" s="2895"/>
      <c r="AD58" s="2895"/>
      <c r="AE58" s="2895"/>
      <c r="AF58" s="2895"/>
      <c r="AG58" s="2895"/>
      <c r="AH58" s="2895"/>
      <c r="AI58" s="2895"/>
      <c r="AJ58" s="2895"/>
      <c r="AK58" s="2895"/>
      <c r="AL58" s="2895"/>
      <c r="AM58" s="2895"/>
      <c r="AN58" s="2895"/>
      <c r="AO58" s="2895"/>
      <c r="AP58" s="2895"/>
      <c r="AQ58" s="2895"/>
      <c r="AR58" s="2895"/>
      <c r="AS58" s="2895"/>
      <c r="AY58" s="1082">
        <v>14</v>
      </c>
    </row>
    <row r="59" spans="1:51" ht="22.5" hidden="1" customHeight="1">
      <c r="A59" s="1087" t="s">
        <v>87</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558">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AH38:AJ38"/>
    <mergeCell ref="AK38:AM38"/>
    <mergeCell ref="AH39:AH40"/>
    <mergeCell ref="AI39:AJ39"/>
    <mergeCell ref="AK39:AK40"/>
    <mergeCell ref="X39:Y39"/>
    <mergeCell ref="W39:W40"/>
    <mergeCell ref="Z39:Z40"/>
    <mergeCell ref="AA39:AB39"/>
    <mergeCell ref="W38:Y38"/>
    <mergeCell ref="Z38:AB38"/>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S29:T29"/>
    <mergeCell ref="AG38:AG40"/>
    <mergeCell ref="AS7:AS8"/>
    <mergeCell ref="AN15:AN16"/>
    <mergeCell ref="AO15:AO16"/>
    <mergeCell ref="AP15:AP16"/>
    <mergeCell ref="AQ15:AQ16"/>
    <mergeCell ref="AD7:AD8"/>
    <mergeCell ref="AE7:AE8"/>
    <mergeCell ref="AF7:AF8"/>
    <mergeCell ref="AN7:AN8"/>
    <mergeCell ref="AO7:AO8"/>
    <mergeCell ref="AP7:AP8"/>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AS36:AS40"/>
    <mergeCell ref="S37:S40"/>
    <mergeCell ref="T37:T40"/>
    <mergeCell ref="V37:AE37"/>
    <mergeCell ref="AF37:AF40"/>
    <mergeCell ref="AG37:AP37"/>
    <mergeCell ref="AQ37:AQ40"/>
    <mergeCell ref="S32:T32"/>
    <mergeCell ref="V32:AE32"/>
    <mergeCell ref="AG32:AP32"/>
    <mergeCell ref="S33:T33"/>
    <mergeCell ref="V33:AE33"/>
    <mergeCell ref="AG33:AP33"/>
    <mergeCell ref="AR37:AR40"/>
    <mergeCell ref="AD40:AE40"/>
    <mergeCell ref="AO40:AP40"/>
    <mergeCell ref="V35:AF35"/>
    <mergeCell ref="AG35:AQ35"/>
    <mergeCell ref="S36:AR36"/>
    <mergeCell ref="AN38:AP39"/>
    <mergeCell ref="AC38:AE39"/>
    <mergeCell ref="AL39:AM39"/>
    <mergeCell ref="V38:V40"/>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V46:AF46"/>
    <mergeCell ref="AG46:AR46"/>
    <mergeCell ref="AO47:AO48"/>
    <mergeCell ref="AP47:AP48"/>
    <mergeCell ref="AQ47:AQ48"/>
    <mergeCell ref="AS47:AS48"/>
    <mergeCell ref="T56:AS56"/>
    <mergeCell ref="T58:AS58"/>
    <mergeCell ref="K47:K48"/>
    <mergeCell ref="AC47:AC48"/>
    <mergeCell ref="AD47:AD48"/>
    <mergeCell ref="AE47:AE48"/>
    <mergeCell ref="AF47:AF48"/>
    <mergeCell ref="AN47:AN48"/>
  </mergeCells>
  <dataValidations count="7">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type="list" allowBlank="1" showInputMessage="1" showErrorMessage="1" errorTitle="Ошибка" error="Выберите значение из списка" sqref="AG917545:AL917545 AG852009:AL852009 AG786473:AL786473 AG720937:AL720937 AG655401:AL655401 AG589865:AL589865 AG524329:AL524329 AG458793:AL458793 AG393257:AL393257 AG327721:AL327721 AG262185:AL262185 AG196649:AL196649 AG131113:AL131113 AG65577:AL65577 AG983081:AL983081 V983081:AB983081 V65577:AB65577 V131113:AB131113 V196649:AB196649 V262185:AB262185 V327721:AB327721 V393257:AB393257 V458793:AB458793 V524329:AB524329 V589865:AB589865 V655401:AB655401 V720937:AB720937 V786473:AB786473 V852009:AB852009 V917545:AB917545">
      <formula1>kind_of_scheme_in</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Y59"/>
  <sheetViews>
    <sheetView showGridLines="0" zoomScale="90" workbookViewId="0">
      <pane xSplit="32" ySplit="41" topLeftCell="AG42" activePane="bottomRight" state="frozen"/>
      <selection pane="topRight" activeCell="AG1" sqref="AG1"/>
      <selection pane="bottomLeft" activeCell="A42" sqref="A42"/>
      <selection pane="bottomRight"/>
    </sheetView>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4.140625" style="1293" hidden="1" customWidth="1"/>
    <col min="10" max="10" width="9.85546875" style="1293" hidden="1" customWidth="1"/>
    <col min="11" max="11" width="14.7109375" style="1293" hidden="1" customWidth="1"/>
    <col min="12" max="12" width="19.140625" style="2014" hidden="1" customWidth="1"/>
    <col min="13" max="14" width="12.28515625" style="1702" hidden="1" customWidth="1"/>
    <col min="15" max="15" width="23.42578125" style="1702" hidden="1" customWidth="1"/>
    <col min="16" max="16" width="3" style="2007" customWidth="1"/>
    <col min="17" max="18" width="3" style="282" customWidth="1"/>
    <col min="19" max="19" width="12" style="2008" customWidth="1"/>
    <col min="20" max="20" width="35" style="1562" customWidth="1"/>
    <col min="21" max="21" width="0.140625" style="1562" customWidth="1"/>
    <col min="22" max="28" width="19.7109375" style="1562" hidden="1" customWidth="1"/>
    <col min="29" max="29" width="11.7109375" style="1562" hidden="1" customWidth="1"/>
    <col min="30" max="30" width="3.7109375" style="1562" hidden="1" customWidth="1"/>
    <col min="31" max="31" width="11.7109375" style="1562" hidden="1" customWidth="1"/>
    <col min="32" max="32" width="8.5703125" style="1562" hidden="1" customWidth="1"/>
    <col min="33" max="33" width="19.7109375" style="1562" customWidth="1"/>
    <col min="34" max="39" width="19" style="1562" customWidth="1"/>
    <col min="40" max="40" width="11" style="1562" customWidth="1"/>
    <col min="41" max="41" width="3.7109375" style="1562" customWidth="1"/>
    <col min="42" max="42" width="11" style="1562" customWidth="1"/>
    <col min="43" max="43" width="8.5703125" style="1562" hidden="1" customWidth="1"/>
    <col min="44" max="44" width="4" style="1562" customWidth="1"/>
    <col min="45" max="45" width="115" style="1562" customWidth="1"/>
    <col min="46" max="50" width="10" style="1569" customWidth="1"/>
    <col min="51" max="51" width="10.5703125" style="1562" hidden="1"/>
  </cols>
  <sheetData>
    <row r="1" spans="1:51" ht="22.5" hidden="1" customHeight="1">
      <c r="AB1" s="265"/>
      <c r="AC1" s="265"/>
      <c r="AM1" s="265"/>
      <c r="AN1" s="265"/>
      <c r="AY1" s="1082" t="s">
        <v>14</v>
      </c>
    </row>
    <row r="2" spans="1:51" ht="23.25" hidden="1" customHeight="1">
      <c r="A2" s="1290"/>
      <c r="B2" s="1290"/>
      <c r="C2" s="1290"/>
      <c r="D2" s="1290"/>
      <c r="E2" s="2896">
        <v>1</v>
      </c>
      <c r="F2" s="1290"/>
      <c r="G2" s="1290"/>
      <c r="H2" s="1290"/>
      <c r="I2" s="1290"/>
      <c r="J2" s="1290"/>
      <c r="K2" s="1290"/>
      <c r="L2" s="1291"/>
      <c r="M2" s="1292"/>
      <c r="N2" s="1292"/>
      <c r="O2" s="1292"/>
      <c r="P2" s="298"/>
      <c r="Q2" s="297"/>
      <c r="R2" s="292"/>
      <c r="S2" s="1420" t="e">
        <f>INDEX(PT_DIFFERENTIATION_NUM_NTAR,MATCH(A2,PT_DIFFERENTIATION_NTAR_ID,0))</f>
        <v>#N/A</v>
      </c>
      <c r="T2" s="236" t="s">
        <v>128</v>
      </c>
      <c r="U2" s="238"/>
      <c r="V2" s="2890"/>
      <c r="W2" s="2891"/>
      <c r="X2" s="2891"/>
      <c r="Y2" s="2891"/>
      <c r="Z2" s="2891"/>
      <c r="AA2" s="2891"/>
      <c r="AB2" s="2891"/>
      <c r="AC2" s="2891"/>
      <c r="AD2" s="2891"/>
      <c r="AE2" s="2891"/>
      <c r="AF2" s="2892"/>
      <c r="AG2" s="2890" t="e">
        <f>INDEX(PT_DIFFERENTIATION_NTAR,MATCH(A2,PT_DIFFERENTIATION_NTAR_ID,0))</f>
        <v>#N/A</v>
      </c>
      <c r="AH2" s="2891"/>
      <c r="AI2" s="2891"/>
      <c r="AJ2" s="2891"/>
      <c r="AK2" s="2891"/>
      <c r="AL2" s="2891"/>
      <c r="AM2" s="2891"/>
      <c r="AN2" s="2891"/>
      <c r="AO2" s="2891"/>
      <c r="AP2" s="2891"/>
      <c r="AQ2" s="2891"/>
      <c r="AR2" s="2892"/>
      <c r="AS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2" s="437"/>
      <c r="AV2" s="437" t="str">
        <f t="shared" ref="AV2:AV13" si="0">IF(T2="","",T2)</f>
        <v>Наименование тарифа</v>
      </c>
      <c r="AW2" s="437"/>
      <c r="AX2" s="437"/>
      <c r="AY2" s="1082">
        <v>0</v>
      </c>
    </row>
    <row r="3" spans="1:51" ht="23.25" hidden="1" customHeight="1">
      <c r="A3" s="1290"/>
      <c r="B3" s="1290"/>
      <c r="C3" s="1290"/>
      <c r="D3" s="1290"/>
      <c r="E3" s="2897"/>
      <c r="F3" s="2896">
        <v>1</v>
      </c>
      <c r="G3" s="1290"/>
      <c r="H3" s="1290"/>
      <c r="I3" s="1290"/>
      <c r="J3" s="1290"/>
      <c r="K3" s="1290"/>
      <c r="L3" s="1291"/>
      <c r="M3" s="1292"/>
      <c r="N3" s="1292"/>
      <c r="O3" s="1292"/>
      <c r="P3" s="1414"/>
      <c r="Q3" s="289"/>
      <c r="R3" s="290"/>
      <c r="S3" s="1420" t="e">
        <f>INDEX(PT_DIFFERENTIATION_NUM_TER,MATCH(B3,PT_DIFFERENTIATION_TER_ID,0))</f>
        <v>#N/A</v>
      </c>
      <c r="T3" s="246" t="s">
        <v>442</v>
      </c>
      <c r="U3" s="238"/>
      <c r="V3" s="2890"/>
      <c r="W3" s="2891"/>
      <c r="X3" s="2891"/>
      <c r="Y3" s="2891"/>
      <c r="Z3" s="2891"/>
      <c r="AA3" s="2891"/>
      <c r="AB3" s="2891"/>
      <c r="AC3" s="2891"/>
      <c r="AD3" s="2891"/>
      <c r="AE3" s="2891"/>
      <c r="AF3" s="2892"/>
      <c r="AG3" s="2890" t="e">
        <f>INDEX(PT_DIFFERENTIATION_TER,MATCH(B3,PT_DIFFERENTIATION_TER_ID,0))</f>
        <v>#N/A</v>
      </c>
      <c r="AH3" s="2891"/>
      <c r="AI3" s="2891"/>
      <c r="AJ3" s="2891"/>
      <c r="AK3" s="2891"/>
      <c r="AL3" s="2891"/>
      <c r="AM3" s="2891"/>
      <c r="AN3" s="2891"/>
      <c r="AO3" s="2891"/>
      <c r="AP3" s="2891"/>
      <c r="AQ3" s="2891"/>
      <c r="AR3" s="2892"/>
      <c r="AS3" s="1185" t="s">
        <v>443</v>
      </c>
      <c r="AU3" s="437"/>
      <c r="AV3" s="437" t="str">
        <f t="shared" si="0"/>
        <v>Территория действия тарифа</v>
      </c>
      <c r="AW3" s="437"/>
      <c r="AX3" s="437"/>
      <c r="AY3" s="1082">
        <v>0</v>
      </c>
    </row>
    <row r="4" spans="1:51" ht="23.25" hidden="1" customHeight="1">
      <c r="A4" s="1290"/>
      <c r="B4" s="1290"/>
      <c r="C4" s="1290"/>
      <c r="D4" s="1290"/>
      <c r="E4" s="2897"/>
      <c r="F4" s="2897"/>
      <c r="G4" s="2896">
        <v>1</v>
      </c>
      <c r="H4" s="1290"/>
      <c r="I4" s="1290"/>
      <c r="J4" s="1290"/>
      <c r="K4" s="1290"/>
      <c r="L4" s="1291"/>
      <c r="M4" s="1292"/>
      <c r="N4" s="1292"/>
      <c r="O4" s="1292"/>
      <c r="P4" s="291"/>
      <c r="Q4" s="289"/>
      <c r="R4" s="290"/>
      <c r="S4" s="1420" t="e">
        <f>INDEX(PT_DIFFERENTIATION_NUM_CS,MATCH(C4,PT_DIFFERENTIATION_CS_ID,0))</f>
        <v>#N/A</v>
      </c>
      <c r="T4" s="247" t="s">
        <v>576</v>
      </c>
      <c r="U4" s="238"/>
      <c r="V4" s="2890"/>
      <c r="W4" s="2891"/>
      <c r="X4" s="2891"/>
      <c r="Y4" s="2891"/>
      <c r="Z4" s="2891"/>
      <c r="AA4" s="2891"/>
      <c r="AB4" s="2891"/>
      <c r="AC4" s="2891"/>
      <c r="AD4" s="2891"/>
      <c r="AE4" s="2891"/>
      <c r="AF4" s="2892"/>
      <c r="AG4" s="2890" t="e">
        <f>INDEX(PT_DIFFERENTIATION_CS,MATCH(C4,PT_DIFFERENTIATION_CS_ID,0))</f>
        <v>#N/A</v>
      </c>
      <c r="AH4" s="2891"/>
      <c r="AI4" s="2891"/>
      <c r="AJ4" s="2891"/>
      <c r="AK4" s="2891"/>
      <c r="AL4" s="2891"/>
      <c r="AM4" s="2891"/>
      <c r="AN4" s="2891"/>
      <c r="AO4" s="2891"/>
      <c r="AP4" s="2891"/>
      <c r="AQ4" s="2891"/>
      <c r="AR4" s="2892"/>
      <c r="AS4" s="1185" t="s">
        <v>577</v>
      </c>
      <c r="AU4" s="437"/>
      <c r="AV4" s="437" t="str">
        <f t="shared" si="0"/>
        <v>Наименование централизованной системы горячего водоснабжения</v>
      </c>
      <c r="AW4" s="437"/>
      <c r="AX4" s="437"/>
      <c r="AY4" s="1082">
        <v>0</v>
      </c>
    </row>
    <row r="5" spans="1:51" ht="23.25" hidden="1" customHeight="1">
      <c r="A5" s="1290"/>
      <c r="B5" s="1290"/>
      <c r="C5" s="1290"/>
      <c r="D5" s="1290"/>
      <c r="E5" s="2897"/>
      <c r="F5" s="2897"/>
      <c r="G5" s="2897"/>
      <c r="H5" s="2897"/>
      <c r="I5" s="2898" t="e">
        <f>S4&amp;".1"</f>
        <v>#N/A</v>
      </c>
      <c r="J5" s="1290"/>
      <c r="K5" s="1290"/>
      <c r="L5" s="1291"/>
      <c r="P5" s="2900">
        <v>1</v>
      </c>
      <c r="Q5" s="1408"/>
      <c r="R5" s="293"/>
      <c r="S5" s="1420" t="e">
        <f>$I5</f>
        <v>#N/A</v>
      </c>
      <c r="T5" s="223" t="s">
        <v>529</v>
      </c>
      <c r="U5" s="238"/>
      <c r="V5" s="2965"/>
      <c r="W5" s="2966"/>
      <c r="X5" s="2966"/>
      <c r="Y5" s="2966"/>
      <c r="Z5" s="2966"/>
      <c r="AA5" s="2966"/>
      <c r="AB5" s="2966"/>
      <c r="AC5" s="2966"/>
      <c r="AD5" s="2966"/>
      <c r="AE5" s="2966"/>
      <c r="AF5" s="2967"/>
      <c r="AG5" s="2968"/>
      <c r="AH5" s="2969"/>
      <c r="AI5" s="2969"/>
      <c r="AJ5" s="2969"/>
      <c r="AK5" s="2969"/>
      <c r="AL5" s="2969"/>
      <c r="AM5" s="2969"/>
      <c r="AN5" s="2969"/>
      <c r="AO5" s="2969"/>
      <c r="AP5" s="2969"/>
      <c r="AQ5" s="2969"/>
      <c r="AR5" s="2970"/>
      <c r="AS5" s="1185" t="s">
        <v>530</v>
      </c>
      <c r="AU5" s="437"/>
      <c r="AV5" s="437" t="str">
        <f t="shared" si="0"/>
        <v>Наименование признака дифференциации</v>
      </c>
      <c r="AW5" s="437"/>
      <c r="AX5" s="437"/>
      <c r="AY5" s="1082">
        <v>0</v>
      </c>
    </row>
    <row r="6" spans="1:51" ht="23.25" hidden="1" customHeight="1">
      <c r="A6" s="1290"/>
      <c r="B6" s="1290"/>
      <c r="C6" s="1290"/>
      <c r="D6" s="1290"/>
      <c r="E6" s="2897"/>
      <c r="F6" s="2897"/>
      <c r="G6" s="2897"/>
      <c r="H6" s="2897"/>
      <c r="I6" s="2899"/>
      <c r="J6" s="2898" t="e">
        <f>I5&amp;".1"</f>
        <v>#N/A</v>
      </c>
      <c r="K6" s="1290"/>
      <c r="L6" s="1291" t="s">
        <v>451</v>
      </c>
      <c r="P6" s="2900"/>
      <c r="Q6" s="2900">
        <v>1</v>
      </c>
      <c r="R6" s="294"/>
      <c r="S6" s="1420" t="e">
        <f>$J6</f>
        <v>#N/A</v>
      </c>
      <c r="T6" s="224" t="s">
        <v>452</v>
      </c>
      <c r="U6" s="238"/>
      <c r="V6" s="2884"/>
      <c r="W6" s="2885"/>
      <c r="X6" s="2885"/>
      <c r="Y6" s="2885"/>
      <c r="Z6" s="2885"/>
      <c r="AA6" s="2885"/>
      <c r="AB6" s="2885"/>
      <c r="AC6" s="2885"/>
      <c r="AD6" s="2885"/>
      <c r="AE6" s="2885"/>
      <c r="AF6" s="2886"/>
      <c r="AG6" s="2884"/>
      <c r="AH6" s="2885"/>
      <c r="AI6" s="2885"/>
      <c r="AJ6" s="2885"/>
      <c r="AK6" s="2885"/>
      <c r="AL6" s="2885"/>
      <c r="AM6" s="2885"/>
      <c r="AN6" s="2885"/>
      <c r="AO6" s="2885"/>
      <c r="AP6" s="2885"/>
      <c r="AQ6" s="2885"/>
      <c r="AR6" s="2886"/>
      <c r="AS6" s="1234" t="s">
        <v>531</v>
      </c>
      <c r="AU6" s="437"/>
      <c r="AV6" s="437" t="str">
        <f t="shared" si="0"/>
        <v>Группа потребителей</v>
      </c>
      <c r="AW6" s="437"/>
      <c r="AX6" s="437"/>
      <c r="AY6" s="1082">
        <v>0</v>
      </c>
    </row>
    <row r="7" spans="1:51" ht="23.25" hidden="1" customHeight="1">
      <c r="A7" s="1290"/>
      <c r="B7" s="1290"/>
      <c r="C7" s="1290"/>
      <c r="D7" s="1290"/>
      <c r="E7" s="2897"/>
      <c r="F7" s="2897"/>
      <c r="G7" s="2897"/>
      <c r="H7" s="2897"/>
      <c r="I7" s="2899"/>
      <c r="J7" s="2899"/>
      <c r="K7" s="2898" t="e">
        <f>J6&amp;".1"</f>
        <v>#N/A</v>
      </c>
      <c r="L7" s="1291"/>
      <c r="P7" s="2900"/>
      <c r="Q7" s="2900"/>
      <c r="R7" s="294">
        <v>1</v>
      </c>
      <c r="S7" s="1420" t="e">
        <f>$K7</f>
        <v>#N/A</v>
      </c>
      <c r="T7" s="1364"/>
      <c r="U7" s="238"/>
      <c r="V7" s="688"/>
      <c r="W7" s="688"/>
      <c r="X7" s="688"/>
      <c r="Y7" s="688"/>
      <c r="Z7" s="688"/>
      <c r="AA7" s="688"/>
      <c r="AB7" s="1184"/>
      <c r="AC7" s="2901"/>
      <c r="AD7" s="2768" t="s">
        <v>71</v>
      </c>
      <c r="AE7" s="2901"/>
      <c r="AF7" s="2768" t="s">
        <v>71</v>
      </c>
      <c r="AG7" s="688"/>
      <c r="AH7" s="688"/>
      <c r="AI7" s="688"/>
      <c r="AJ7" s="688"/>
      <c r="AK7" s="688"/>
      <c r="AL7" s="688"/>
      <c r="AM7" s="1184"/>
      <c r="AN7" s="2901"/>
      <c r="AO7" s="2768" t="s">
        <v>71</v>
      </c>
      <c r="AP7" s="2903"/>
      <c r="AQ7" s="2768" t="s">
        <v>71</v>
      </c>
      <c r="AR7" s="1365"/>
      <c r="AS7" s="29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7" s="448" t="e">
        <f ca="1">STRCHECKDATE(V8:AR8)</f>
        <v>#NAME?</v>
      </c>
      <c r="AU7" s="437"/>
      <c r="AV7" s="437" t="str">
        <f t="shared" si="0"/>
        <v/>
      </c>
      <c r="AW7" s="437"/>
      <c r="AX7" s="437"/>
      <c r="AY7" s="1082">
        <v>0</v>
      </c>
    </row>
    <row r="8" spans="1:51" ht="14.25" hidden="1" customHeight="1">
      <c r="A8" s="1290"/>
      <c r="B8" s="1290"/>
      <c r="C8" s="1290"/>
      <c r="D8" s="1290"/>
      <c r="E8" s="2897"/>
      <c r="F8" s="2897"/>
      <c r="G8" s="2897"/>
      <c r="H8" s="2897"/>
      <c r="I8" s="2899"/>
      <c r="J8" s="2899"/>
      <c r="K8" s="2898"/>
      <c r="L8" s="1291"/>
      <c r="P8" s="2900"/>
      <c r="Q8" s="2900"/>
      <c r="R8" s="294"/>
      <c r="S8" s="1417"/>
      <c r="T8" s="238"/>
      <c r="U8" s="238"/>
      <c r="V8" s="263"/>
      <c r="W8" s="263"/>
      <c r="X8" s="263"/>
      <c r="Y8" s="263"/>
      <c r="Z8" s="263"/>
      <c r="AA8" s="263"/>
      <c r="AB8" s="266" t="str">
        <f>AC7&amp;"-"&amp;AE7</f>
        <v>-</v>
      </c>
      <c r="AC8" s="2902"/>
      <c r="AD8" s="2768"/>
      <c r="AE8" s="2902"/>
      <c r="AF8" s="2768"/>
      <c r="AG8" s="263"/>
      <c r="AH8" s="263"/>
      <c r="AI8" s="263"/>
      <c r="AJ8" s="263"/>
      <c r="AK8" s="263"/>
      <c r="AL8" s="263"/>
      <c r="AM8" s="266" t="str">
        <f>AN7&amp;"-"&amp;AP7</f>
        <v>-</v>
      </c>
      <c r="AN8" s="2902"/>
      <c r="AO8" s="2768"/>
      <c r="AP8" s="2904"/>
      <c r="AQ8" s="2768"/>
      <c r="AR8" s="1366"/>
      <c r="AS8" s="2971"/>
      <c r="AU8" s="437"/>
      <c r="AV8" s="437" t="str">
        <f t="shared" si="0"/>
        <v/>
      </c>
      <c r="AW8" s="437"/>
      <c r="AX8" s="437"/>
      <c r="AY8" s="1082">
        <v>0</v>
      </c>
    </row>
    <row r="9" spans="1:51" ht="21" hidden="1" customHeight="1">
      <c r="A9" s="1290"/>
      <c r="B9" s="1290"/>
      <c r="C9" s="1290"/>
      <c r="D9" s="1290"/>
      <c r="E9" s="2897"/>
      <c r="F9" s="2897"/>
      <c r="G9" s="2897"/>
      <c r="H9" s="2897"/>
      <c r="I9" s="2899"/>
      <c r="J9" s="2898"/>
      <c r="K9" s="1290"/>
      <c r="L9" s="1291"/>
      <c r="P9" s="2900"/>
      <c r="Q9" s="2900"/>
      <c r="R9" s="293"/>
      <c r="S9" s="1205"/>
      <c r="T9" s="225" t="s">
        <v>532</v>
      </c>
      <c r="U9" s="304"/>
      <c r="V9" s="304"/>
      <c r="W9" s="537"/>
      <c r="X9" s="537"/>
      <c r="Y9" s="537"/>
      <c r="Z9" s="537"/>
      <c r="AA9" s="537"/>
      <c r="AB9" s="304"/>
      <c r="AC9" s="304"/>
      <c r="AD9" s="304"/>
      <c r="AE9" s="304"/>
      <c r="AF9" s="304"/>
      <c r="AG9" s="304"/>
      <c r="AH9" s="537"/>
      <c r="AI9" s="537"/>
      <c r="AJ9" s="537"/>
      <c r="AK9" s="537"/>
      <c r="AL9" s="537"/>
      <c r="AM9" s="304"/>
      <c r="AN9" s="304"/>
      <c r="AO9" s="304"/>
      <c r="AP9" s="304"/>
      <c r="AQ9" s="304"/>
      <c r="AR9" s="304"/>
      <c r="AS9" s="1185" t="s">
        <v>533</v>
      </c>
      <c r="AU9" s="437"/>
      <c r="AV9" s="437" t="str">
        <f t="shared" si="0"/>
        <v>Добавить значение признака дифференциации</v>
      </c>
      <c r="AW9" s="437"/>
      <c r="AX9" s="437"/>
      <c r="AY9" s="1082">
        <v>0</v>
      </c>
    </row>
    <row r="10" spans="1:51" ht="21" hidden="1" customHeight="1">
      <c r="A10" s="1290"/>
      <c r="B10" s="1290"/>
      <c r="C10" s="1290"/>
      <c r="D10" s="1290"/>
      <c r="E10" s="2897"/>
      <c r="F10" s="2897"/>
      <c r="G10" s="2897"/>
      <c r="H10" s="2897"/>
      <c r="I10" s="2898"/>
      <c r="J10" s="1290"/>
      <c r="K10" s="1290"/>
      <c r="L10" s="1291"/>
      <c r="P10" s="2900"/>
      <c r="Q10" s="1408"/>
      <c r="R10" s="293"/>
      <c r="S10" s="1205"/>
      <c r="T10" s="302" t="s">
        <v>457</v>
      </c>
      <c r="U10" s="304"/>
      <c r="V10" s="304"/>
      <c r="W10" s="537"/>
      <c r="X10" s="537"/>
      <c r="Y10" s="537"/>
      <c r="Z10" s="537"/>
      <c r="AA10" s="537"/>
      <c r="AB10" s="304"/>
      <c r="AC10" s="304"/>
      <c r="AD10" s="304"/>
      <c r="AE10" s="304"/>
      <c r="AF10" s="303"/>
      <c r="AG10" s="304"/>
      <c r="AH10" s="537"/>
      <c r="AI10" s="537"/>
      <c r="AJ10" s="537"/>
      <c r="AK10" s="537"/>
      <c r="AL10" s="537"/>
      <c r="AM10" s="304"/>
      <c r="AN10" s="304"/>
      <c r="AO10" s="304"/>
      <c r="AP10" s="304"/>
      <c r="AQ10" s="303"/>
      <c r="AR10" s="304"/>
      <c r="AS10" s="1367"/>
      <c r="AU10" s="437"/>
      <c r="AV10" s="437" t="str">
        <f t="shared" si="0"/>
        <v>Добавить группу потребителей</v>
      </c>
      <c r="AW10" s="437"/>
      <c r="AX10" s="437"/>
      <c r="AY10" s="1082">
        <v>0</v>
      </c>
    </row>
    <row r="11" spans="1:51" ht="21" hidden="1" customHeight="1">
      <c r="A11" s="1290"/>
      <c r="B11" s="1290"/>
      <c r="C11" s="1290"/>
      <c r="D11" s="1290"/>
      <c r="E11" s="2897"/>
      <c r="F11" s="2897"/>
      <c r="G11" s="2897"/>
      <c r="H11" s="2896"/>
      <c r="I11" s="1290"/>
      <c r="J11" s="1290"/>
      <c r="K11" s="1290"/>
      <c r="L11" s="1291"/>
      <c r="M11" s="1292"/>
      <c r="N11" s="1292"/>
      <c r="O11" s="474"/>
      <c r="P11" s="297"/>
      <c r="Q11" s="312"/>
      <c r="R11" s="292"/>
      <c r="S11" s="1205"/>
      <c r="T11" s="309" t="s">
        <v>534</v>
      </c>
      <c r="U11" s="304"/>
      <c r="V11" s="304"/>
      <c r="W11" s="537"/>
      <c r="X11" s="537"/>
      <c r="Y11" s="537"/>
      <c r="Z11" s="537"/>
      <c r="AA11" s="537"/>
      <c r="AB11" s="304"/>
      <c r="AC11" s="304"/>
      <c r="AD11" s="304"/>
      <c r="AE11" s="304"/>
      <c r="AF11" s="303"/>
      <c r="AG11" s="304"/>
      <c r="AH11" s="537"/>
      <c r="AI11" s="537"/>
      <c r="AJ11" s="537"/>
      <c r="AK11" s="537"/>
      <c r="AL11" s="537"/>
      <c r="AM11" s="304"/>
      <c r="AN11" s="304"/>
      <c r="AO11" s="304"/>
      <c r="AP11" s="304"/>
      <c r="AQ11" s="303"/>
      <c r="AR11" s="304"/>
      <c r="AS11" s="241"/>
      <c r="AU11" s="437"/>
      <c r="AV11" s="437" t="str">
        <f t="shared" si="0"/>
        <v>Добавить наименование признака дифференциации</v>
      </c>
      <c r="AW11" s="437"/>
      <c r="AX11" s="437"/>
      <c r="AY11" s="1082">
        <v>0</v>
      </c>
    </row>
    <row r="12" spans="1:51" s="1569" customFormat="1" ht="14.25" hidden="1" customHeight="1">
      <c r="A12" s="1270"/>
      <c r="B12" s="1270"/>
      <c r="C12" s="1241"/>
      <c r="D12" s="1241"/>
      <c r="E12" s="2897"/>
      <c r="F12" s="2896"/>
      <c r="G12" s="1241"/>
      <c r="H12" s="1241"/>
      <c r="I12" s="1241"/>
      <c r="J12" s="1241"/>
      <c r="K12" s="1241"/>
      <c r="L12" s="1421"/>
      <c r="M12" s="1248"/>
      <c r="N12" s="1248"/>
      <c r="P12" s="1243"/>
      <c r="Q12" s="1244"/>
      <c r="R12" s="1243"/>
      <c r="S12" s="1249"/>
      <c r="T12" s="1252" t="s">
        <v>176</v>
      </c>
      <c r="U12" s="1251"/>
      <c r="V12" s="1251"/>
      <c r="W12" s="1251"/>
      <c r="X12" s="1251"/>
      <c r="Y12" s="1251"/>
      <c r="Z12" s="1251"/>
      <c r="AA12" s="1251"/>
      <c r="AB12" s="1251"/>
      <c r="AC12" s="1251"/>
      <c r="AD12" s="1251"/>
      <c r="AE12" s="1251"/>
      <c r="AF12" s="1251"/>
      <c r="AG12" s="1251"/>
      <c r="AH12" s="1251"/>
      <c r="AI12" s="1251"/>
      <c r="AJ12" s="1251"/>
      <c r="AK12" s="1251"/>
      <c r="AL12" s="1251"/>
      <c r="AM12" s="1251"/>
      <c r="AN12" s="1251"/>
      <c r="AO12" s="1251"/>
      <c r="AP12" s="1251"/>
      <c r="AQ12" s="1251"/>
      <c r="AR12" s="1251"/>
      <c r="AS12" s="1251"/>
      <c r="AU12" s="720"/>
      <c r="AV12" s="720" t="str">
        <f t="shared" si="0"/>
        <v>Добавить централизованную систему для дифференциации</v>
      </c>
      <c r="AW12" s="720"/>
      <c r="AX12" s="720"/>
      <c r="AY12" s="455">
        <v>0</v>
      </c>
    </row>
    <row r="13" spans="1:51" s="1569" customFormat="1" ht="14.25" hidden="1" customHeight="1">
      <c r="A13" s="1270"/>
      <c r="B13" s="1270"/>
      <c r="C13" s="1270"/>
      <c r="D13" s="1270"/>
      <c r="E13" s="2896"/>
      <c r="F13" s="1270"/>
      <c r="G13" s="1270"/>
      <c r="H13" s="1270"/>
      <c r="I13" s="1270"/>
      <c r="J13" s="1270"/>
      <c r="K13" s="1270"/>
      <c r="L13" s="1273"/>
      <c r="M13" s="1248"/>
      <c r="N13" s="1248"/>
      <c r="O13" s="455"/>
      <c r="P13" s="317"/>
      <c r="Q13" s="1271"/>
      <c r="R13" s="317"/>
      <c r="S13" s="1249"/>
      <c r="T13" s="1252" t="s">
        <v>178</v>
      </c>
      <c r="U13" s="1251"/>
      <c r="V13" s="1251"/>
      <c r="W13" s="1251"/>
      <c r="X13" s="1251"/>
      <c r="Y13" s="1251"/>
      <c r="Z13" s="1251"/>
      <c r="AA13" s="1251"/>
      <c r="AB13" s="1251"/>
      <c r="AC13" s="1251"/>
      <c r="AD13" s="1251"/>
      <c r="AE13" s="1251"/>
      <c r="AF13" s="1251"/>
      <c r="AG13" s="1251"/>
      <c r="AH13" s="1251"/>
      <c r="AI13" s="1251"/>
      <c r="AJ13" s="1251"/>
      <c r="AK13" s="1251"/>
      <c r="AL13" s="1251"/>
      <c r="AM13" s="1251"/>
      <c r="AN13" s="1251"/>
      <c r="AO13" s="1251"/>
      <c r="AP13" s="1251"/>
      <c r="AQ13" s="1251"/>
      <c r="AR13" s="1251"/>
      <c r="AS13" s="1251"/>
      <c r="AU13" s="437"/>
      <c r="AV13" s="437" t="str">
        <f t="shared" si="0"/>
        <v>Добавить территорию для дифференциации</v>
      </c>
      <c r="AW13" s="437"/>
      <c r="AX13" s="437"/>
      <c r="AY13" s="448">
        <v>0</v>
      </c>
    </row>
    <row r="14" spans="1:51" ht="14.25" hidden="1" customHeight="1">
      <c r="AF14" s="265"/>
      <c r="AQ14" s="265"/>
      <c r="AY14" s="1082">
        <v>0</v>
      </c>
    </row>
    <row r="15" spans="1:51" ht="14.25" hidden="1" customHeight="1">
      <c r="AG15" s="1287"/>
      <c r="AH15" s="1287"/>
      <c r="AI15" s="1287"/>
      <c r="AJ15" s="1287"/>
      <c r="AK15" s="1287"/>
      <c r="AL15" s="1287"/>
      <c r="AM15" s="1288"/>
      <c r="AN15" s="2894"/>
      <c r="AO15" s="2893" t="s">
        <v>71</v>
      </c>
      <c r="AP15" s="2894"/>
      <c r="AQ15" s="2893" t="s">
        <v>71</v>
      </c>
      <c r="AY15" s="1082">
        <v>0</v>
      </c>
    </row>
    <row r="16" spans="1:51" ht="14.25" hidden="1" customHeight="1">
      <c r="AG16" s="1287"/>
      <c r="AH16" s="1287"/>
      <c r="AI16" s="1287"/>
      <c r="AJ16" s="1287"/>
      <c r="AK16" s="1287"/>
      <c r="AL16" s="1287"/>
      <c r="AM16" s="266" t="str">
        <f>AN15&amp;"-"&amp;AP15</f>
        <v>-</v>
      </c>
      <c r="AN16" s="2893"/>
      <c r="AO16" s="2893"/>
      <c r="AP16" s="2893"/>
      <c r="AQ16" s="2893"/>
      <c r="AY16" s="1082">
        <v>0</v>
      </c>
    </row>
    <row r="17" spans="1:51" ht="14.25" hidden="1" customHeight="1">
      <c r="AQ17" s="265"/>
      <c r="AY17" s="1082">
        <v>0</v>
      </c>
    </row>
    <row r="18" spans="1:51" s="1293" customFormat="1" ht="22.5" hidden="1" customHeight="1">
      <c r="L18" s="1405"/>
      <c r="M18" s="1289"/>
      <c r="N18" s="1289"/>
      <c r="O18" s="1294" t="s">
        <v>459</v>
      </c>
      <c r="P18" s="1289"/>
      <c r="Q18" s="1298"/>
      <c r="R18" s="1298"/>
      <c r="S18" s="666"/>
      <c r="AC18" s="1294"/>
      <c r="AE18" s="1294"/>
      <c r="AN18" s="1294"/>
      <c r="AP18" s="1294"/>
      <c r="AT18" s="448"/>
      <c r="AU18" s="448"/>
      <c r="AV18" s="448"/>
      <c r="AW18" s="448"/>
      <c r="AX18" s="448"/>
      <c r="AY18" s="1087">
        <v>0</v>
      </c>
    </row>
    <row r="19" spans="1:51" s="1293" customFormat="1" ht="14.25" hidden="1" customHeight="1">
      <c r="L19" s="1405"/>
      <c r="M19" s="1289"/>
      <c r="N19" s="1289"/>
      <c r="O19" s="1289"/>
      <c r="P19" s="1289"/>
      <c r="Q19" s="1298"/>
      <c r="R19" s="1298"/>
      <c r="S19" s="666"/>
      <c r="AT19" s="448"/>
      <c r="AU19" s="448"/>
      <c r="AV19" s="448"/>
      <c r="AW19" s="448"/>
      <c r="AX19" s="448"/>
      <c r="AY19" s="1087">
        <v>0</v>
      </c>
    </row>
    <row r="20" spans="1:51" s="1293" customFormat="1" ht="12" hidden="1" customHeight="1">
      <c r="L20" s="1405"/>
      <c r="M20" s="1289"/>
      <c r="N20" s="1289"/>
      <c r="O20" s="1291" t="s">
        <v>460</v>
      </c>
      <c r="P20" s="1289"/>
      <c r="Q20" s="1369"/>
      <c r="R20" s="1369"/>
      <c r="S20" s="666"/>
      <c r="T20" s="1087" t="s">
        <v>461</v>
      </c>
      <c r="AD20" s="124" t="s">
        <v>462</v>
      </c>
      <c r="AF20" s="124" t="s">
        <v>463</v>
      </c>
      <c r="AG20" s="1087" t="s">
        <v>461</v>
      </c>
      <c r="AO20" s="124" t="s">
        <v>464</v>
      </c>
      <c r="AQ20" s="124" t="s">
        <v>463</v>
      </c>
      <c r="AY20" s="1087">
        <v>0</v>
      </c>
    </row>
    <row r="21" spans="1:51" ht="14.25" hidden="1" customHeight="1">
      <c r="O21" s="1291"/>
      <c r="AY21" s="1082">
        <v>0</v>
      </c>
    </row>
    <row r="22" spans="1:51" ht="14.25" hidden="1" customHeight="1">
      <c r="O22" s="1291"/>
      <c r="AY22" s="1082">
        <v>0</v>
      </c>
    </row>
    <row r="23" spans="1:51" ht="15" customHeight="1">
      <c r="Q23" s="313"/>
      <c r="R23" s="313"/>
      <c r="S23" s="1202"/>
      <c r="T23" s="300"/>
      <c r="U23" s="300"/>
      <c r="V23" s="446"/>
      <c r="AB23" s="446"/>
      <c r="AC23" s="446"/>
      <c r="AD23" s="446"/>
      <c r="AE23" s="446"/>
      <c r="AF23" s="446"/>
      <c r="AG23" s="446"/>
      <c r="AM23" s="446"/>
      <c r="AN23" s="446"/>
      <c r="AO23" s="446"/>
      <c r="AP23" s="446"/>
      <c r="AQ23" s="446"/>
      <c r="AY23" s="1082">
        <v>14</v>
      </c>
    </row>
    <row r="24" spans="1:51" ht="26.25" customHeight="1">
      <c r="Q24" s="313"/>
      <c r="R24" s="313"/>
      <c r="S24" s="2877" t="str">
        <f>IF(TEMPLATE_GROUP="P",PT_P_FORM_HOTVSNA_4_NAME_FORM,PT_R_FORM_HOTVSNA_16_NAME_FORM)</f>
        <v>Форма 13. Информация о предложении организации горячего водоснабжения об установлении расчетной величины тарифов в сфере горячего водоснабжения на очередной период регулирования</v>
      </c>
      <c r="T24" s="2877"/>
      <c r="U24" s="2877"/>
      <c r="V24" s="2877"/>
      <c r="W24" s="2877"/>
      <c r="X24" s="2877"/>
      <c r="Y24" s="2877"/>
      <c r="Z24" s="2877"/>
      <c r="AA24" s="2877"/>
      <c r="AB24" s="2877"/>
      <c r="AC24" s="2877"/>
      <c r="AD24" s="2877"/>
      <c r="AE24" s="2877"/>
      <c r="AF24" s="2877"/>
      <c r="AG24" s="2877"/>
      <c r="AH24" s="2877"/>
      <c r="AI24" s="2877"/>
      <c r="AJ24" s="2877"/>
      <c r="AK24" s="2877"/>
      <c r="AL24" s="2877"/>
      <c r="AM24" s="2877"/>
      <c r="AN24" s="2877"/>
      <c r="AO24" s="2877"/>
      <c r="AP24" s="2877"/>
      <c r="AQ24" s="1170"/>
      <c r="AY24" s="1082">
        <v>25</v>
      </c>
    </row>
    <row r="25" spans="1:51" ht="15" customHeight="1">
      <c r="Q25" s="313"/>
      <c r="R25" s="313"/>
      <c r="S25" s="2849" t="str">
        <f>IF(org=0,"Не определено",org)</f>
        <v>ТМУП "ТТС"</v>
      </c>
      <c r="T25" s="2849"/>
      <c r="U25" s="2849"/>
      <c r="V25" s="2849"/>
      <c r="W25" s="2849"/>
      <c r="X25" s="2849"/>
      <c r="Y25" s="2849"/>
      <c r="Z25" s="2849"/>
      <c r="AA25" s="2849"/>
      <c r="AB25" s="2849"/>
      <c r="AC25" s="2849"/>
      <c r="AD25" s="2849"/>
      <c r="AE25" s="2849"/>
      <c r="AF25" s="2849"/>
      <c r="AG25" s="2849"/>
      <c r="AH25" s="2849"/>
      <c r="AI25" s="2849"/>
      <c r="AJ25" s="2849"/>
      <c r="AK25" s="2849"/>
      <c r="AL25" s="2849"/>
      <c r="AM25" s="2849"/>
      <c r="AN25" s="2849"/>
      <c r="AO25" s="2849"/>
      <c r="AP25" s="2849"/>
      <c r="AQ25" s="1170"/>
      <c r="AY25" s="1082">
        <v>14</v>
      </c>
    </row>
    <row r="26" spans="1:51" ht="14.25" hidden="1" customHeight="1">
      <c r="Q26" s="313"/>
      <c r="R26" s="313"/>
      <c r="S26" s="1202"/>
      <c r="T26" s="300"/>
      <c r="U26" s="300"/>
      <c r="V26" s="260"/>
      <c r="W26" s="260"/>
      <c r="X26" s="260"/>
      <c r="Y26" s="260"/>
      <c r="Z26" s="260"/>
      <c r="AA26" s="260"/>
      <c r="AB26" s="260"/>
      <c r="AC26" s="260"/>
      <c r="AD26" s="260"/>
      <c r="AE26" s="260"/>
      <c r="AF26" s="260"/>
      <c r="AG26" s="260"/>
      <c r="AH26" s="260"/>
      <c r="AI26" s="260"/>
      <c r="AJ26" s="260"/>
      <c r="AK26" s="260"/>
      <c r="AL26" s="260"/>
      <c r="AM26" s="260"/>
      <c r="AN26" s="260"/>
      <c r="AO26" s="260"/>
      <c r="AP26" s="260"/>
      <c r="AQ26" s="260"/>
      <c r="AR26" s="446"/>
      <c r="AY26" s="1082">
        <v>0</v>
      </c>
    </row>
    <row r="27" spans="1:51" s="1778" customFormat="1" ht="25.5" hidden="1" customHeight="1">
      <c r="A27" s="1295"/>
      <c r="B27" s="1295"/>
      <c r="C27" s="1295"/>
      <c r="D27" s="1295"/>
      <c r="E27" s="1295"/>
      <c r="F27" s="1295"/>
      <c r="G27" s="1295"/>
      <c r="H27" s="1295"/>
      <c r="I27" s="1295"/>
      <c r="J27" s="1295"/>
      <c r="K27" s="1295"/>
      <c r="L27" s="1296"/>
      <c r="M27" s="1295"/>
      <c r="N27" s="1295"/>
      <c r="O27" s="1295"/>
      <c r="S27" s="2887" t="s">
        <v>46</v>
      </c>
      <c r="T27" s="2887"/>
      <c r="U27" s="1299"/>
      <c r="V27" s="2889" t="str">
        <f>IF(TITLE_NAME_OR_PR_CHANGE="",IF(TITLE_NAME_OR_PR="","",TITLE_NAME_OR_PR),TITLE_NAME_OR_PR_CHANGE)</f>
        <v/>
      </c>
      <c r="W27" s="2889"/>
      <c r="X27" s="2889"/>
      <c r="Y27" s="2889"/>
      <c r="Z27" s="2889"/>
      <c r="AA27" s="2889"/>
      <c r="AB27" s="2889"/>
      <c r="AC27" s="2889"/>
      <c r="AD27" s="2889"/>
      <c r="AE27" s="2889"/>
      <c r="AF27" s="264"/>
      <c r="AG27" s="2889" t="str">
        <f>IF(TITLE_NAME_OR_PR_CHANGE="",IF(TITLE_NAME_OR_PR="","",TITLE_NAME_OR_PR),TITLE_NAME_OR_PR_CHANGE)</f>
        <v/>
      </c>
      <c r="AH27" s="2889"/>
      <c r="AI27" s="2889"/>
      <c r="AJ27" s="2889"/>
      <c r="AK27" s="2889"/>
      <c r="AL27" s="2889"/>
      <c r="AM27" s="2889"/>
      <c r="AN27" s="2889"/>
      <c r="AO27" s="2889"/>
      <c r="AP27" s="2889"/>
      <c r="AQ27" s="264"/>
      <c r="AR27" s="264"/>
      <c r="AS27" s="218"/>
      <c r="AT27" s="305"/>
      <c r="AU27" s="305"/>
      <c r="AV27" s="305"/>
      <c r="AW27" s="305"/>
      <c r="AX27" s="305"/>
      <c r="AY27" s="355">
        <v>0</v>
      </c>
    </row>
    <row r="28" spans="1:51" s="1778" customFormat="1" ht="18.75" hidden="1" customHeight="1">
      <c r="A28" s="1295"/>
      <c r="B28" s="1295"/>
      <c r="C28" s="1295"/>
      <c r="D28" s="1295"/>
      <c r="E28" s="1295"/>
      <c r="F28" s="1295"/>
      <c r="G28" s="1295"/>
      <c r="H28" s="1295"/>
      <c r="I28" s="1295"/>
      <c r="J28" s="1295"/>
      <c r="K28" s="1295"/>
      <c r="L28" s="1296"/>
      <c r="M28" s="1295"/>
      <c r="N28" s="1295"/>
      <c r="O28" s="1295"/>
      <c r="S28" s="2887" t="s">
        <v>465</v>
      </c>
      <c r="T28" s="2887"/>
      <c r="U28" s="1299"/>
      <c r="V28" s="2888" t="str">
        <f>IF(TITLE_DATE_PR_CHANGE="",IF(TITLE_DATE_PR="","",TITLE_DATE_PR),TITLE_DATE_PR_CHANGE)</f>
        <v>14.11.2024</v>
      </c>
      <c r="W28" s="2888"/>
      <c r="X28" s="2888"/>
      <c r="Y28" s="2888"/>
      <c r="Z28" s="2888"/>
      <c r="AA28" s="2888"/>
      <c r="AB28" s="2888"/>
      <c r="AC28" s="2888"/>
      <c r="AD28" s="2888"/>
      <c r="AE28" s="2888"/>
      <c r="AF28" s="264"/>
      <c r="AG28" s="2888" t="str">
        <f>IF(TITLE_DATE_PR_CHANGE="",IF(TITLE_DATE_PR="","",TITLE_DATE_PR),TITLE_DATE_PR_CHANGE)</f>
        <v>14.11.2024</v>
      </c>
      <c r="AH28" s="2888"/>
      <c r="AI28" s="2888"/>
      <c r="AJ28" s="2888"/>
      <c r="AK28" s="2888"/>
      <c r="AL28" s="2888"/>
      <c r="AM28" s="2888"/>
      <c r="AN28" s="2888"/>
      <c r="AO28" s="2888"/>
      <c r="AP28" s="2888"/>
      <c r="AQ28" s="264"/>
      <c r="AR28" s="264"/>
      <c r="AS28" s="218"/>
      <c r="AT28" s="305"/>
      <c r="AU28" s="305"/>
      <c r="AV28" s="305"/>
      <c r="AW28" s="305"/>
      <c r="AX28" s="305"/>
      <c r="AY28" s="355">
        <v>0</v>
      </c>
    </row>
    <row r="29" spans="1:51" s="1778" customFormat="1" ht="18.75" hidden="1" customHeight="1">
      <c r="A29" s="1295"/>
      <c r="B29" s="1295"/>
      <c r="C29" s="1295"/>
      <c r="D29" s="1295"/>
      <c r="E29" s="1295"/>
      <c r="F29" s="1295"/>
      <c r="G29" s="1295"/>
      <c r="H29" s="1295"/>
      <c r="I29" s="1295"/>
      <c r="J29" s="1295"/>
      <c r="K29" s="1295"/>
      <c r="L29" s="1296"/>
      <c r="M29" s="1295"/>
      <c r="N29" s="1295"/>
      <c r="O29" s="1295"/>
      <c r="S29" s="2887" t="s">
        <v>466</v>
      </c>
      <c r="T29" s="2887"/>
      <c r="U29" s="1299"/>
      <c r="V29" s="2889" t="str">
        <f>IF(TITLE_NUMBER_PR_CHANGE="",IF(TITLE_NUMBER_PR="","",TITLE_NUMBER_PR),TITLE_NUMBER_PR_CHANGE)</f>
        <v>947 от 12.11.2024</v>
      </c>
      <c r="W29" s="2889"/>
      <c r="X29" s="2889"/>
      <c r="Y29" s="2889"/>
      <c r="Z29" s="2889"/>
      <c r="AA29" s="2889"/>
      <c r="AB29" s="2889"/>
      <c r="AC29" s="2889"/>
      <c r="AD29" s="2889"/>
      <c r="AE29" s="2889"/>
      <c r="AF29" s="264"/>
      <c r="AG29" s="2889" t="str">
        <f>IF(TITLE_NUMBER_PR_CHANGE="",IF(TITLE_NUMBER_PR="","",TITLE_NUMBER_PR),TITLE_NUMBER_PR_CHANGE)</f>
        <v>947 от 12.11.2024</v>
      </c>
      <c r="AH29" s="2889"/>
      <c r="AI29" s="2889"/>
      <c r="AJ29" s="2889"/>
      <c r="AK29" s="2889"/>
      <c r="AL29" s="2889"/>
      <c r="AM29" s="2889"/>
      <c r="AN29" s="2889"/>
      <c r="AO29" s="2889"/>
      <c r="AP29" s="2889"/>
      <c r="AQ29" s="264"/>
      <c r="AR29" s="264"/>
      <c r="AS29" s="218"/>
      <c r="AT29" s="305"/>
      <c r="AU29" s="305"/>
      <c r="AV29" s="305"/>
      <c r="AW29" s="305"/>
      <c r="AX29" s="305"/>
      <c r="AY29" s="355">
        <v>0</v>
      </c>
    </row>
    <row r="30" spans="1:51" s="1778" customFormat="1" ht="18.75" hidden="1" customHeight="1">
      <c r="A30" s="1295"/>
      <c r="B30" s="1295"/>
      <c r="C30" s="1295"/>
      <c r="D30" s="1295"/>
      <c r="E30" s="1295"/>
      <c r="F30" s="1295"/>
      <c r="G30" s="1295"/>
      <c r="H30" s="1295"/>
      <c r="I30" s="1295"/>
      <c r="J30" s="1295"/>
      <c r="K30" s="1295"/>
      <c r="L30" s="1296"/>
      <c r="M30" s="1295"/>
      <c r="N30" s="1295"/>
      <c r="O30" s="1295"/>
      <c r="S30" s="2887" t="s">
        <v>47</v>
      </c>
      <c r="T30" s="2887"/>
      <c r="U30" s="1299"/>
      <c r="V30" s="2889" t="str">
        <f>IF(TITLE_IST_PUB_CHANGE="",IF(TITLE_IST_PUB="","",TITLE_IST_PUB),TITLE_IST_PUB_CHANGE)</f>
        <v/>
      </c>
      <c r="W30" s="2889"/>
      <c r="X30" s="2889"/>
      <c r="Y30" s="2889"/>
      <c r="Z30" s="2889"/>
      <c r="AA30" s="2889"/>
      <c r="AB30" s="2889"/>
      <c r="AC30" s="2889"/>
      <c r="AD30" s="2889"/>
      <c r="AE30" s="2889"/>
      <c r="AF30" s="264"/>
      <c r="AG30" s="2889" t="str">
        <f>IF(TITLE_IST_PUB_CHANGE="",IF(TITLE_IST_PUB="","",TITLE_IST_PUB),TITLE_IST_PUB_CHANGE)</f>
        <v/>
      </c>
      <c r="AH30" s="2889"/>
      <c r="AI30" s="2889"/>
      <c r="AJ30" s="2889"/>
      <c r="AK30" s="2889"/>
      <c r="AL30" s="2889"/>
      <c r="AM30" s="2889"/>
      <c r="AN30" s="2889"/>
      <c r="AO30" s="2889"/>
      <c r="AP30" s="2889"/>
      <c r="AQ30" s="264"/>
      <c r="AR30" s="264"/>
      <c r="AS30" s="218"/>
      <c r="AT30" s="305"/>
      <c r="AU30" s="305"/>
      <c r="AV30" s="305"/>
      <c r="AW30" s="305"/>
      <c r="AX30" s="305"/>
      <c r="AY30" s="355">
        <v>0</v>
      </c>
    </row>
    <row r="31" spans="1:51" ht="14.25" customHeight="1">
      <c r="Q31" s="313"/>
      <c r="R31" s="313"/>
      <c r="S31" s="1202"/>
      <c r="T31" s="300"/>
      <c r="U31" s="300"/>
      <c r="V31" s="260"/>
      <c r="W31" s="260"/>
      <c r="X31" s="260"/>
      <c r="Y31" s="260"/>
      <c r="Z31" s="260"/>
      <c r="AA31" s="260"/>
      <c r="AB31" s="260"/>
      <c r="AC31" s="260"/>
      <c r="AD31" s="260"/>
      <c r="AE31" s="260"/>
      <c r="AF31" s="260"/>
      <c r="AG31" s="260"/>
      <c r="AH31" s="260"/>
      <c r="AI31" s="260"/>
      <c r="AJ31" s="260"/>
      <c r="AK31" s="260"/>
      <c r="AL31" s="260"/>
      <c r="AM31" s="260"/>
      <c r="AN31" s="260"/>
      <c r="AO31" s="260"/>
      <c r="AP31" s="260"/>
      <c r="AQ31" s="260"/>
      <c r="AR31" s="446"/>
      <c r="AY31" s="1082">
        <v>0</v>
      </c>
    </row>
    <row r="32" spans="1:51" s="1778" customFormat="1" ht="18.75" customHeight="1">
      <c r="A32" s="1295"/>
      <c r="B32" s="1295"/>
      <c r="C32" s="1295"/>
      <c r="D32" s="1295"/>
      <c r="E32" s="1295"/>
      <c r="F32" s="1295"/>
      <c r="G32" s="1295"/>
      <c r="H32" s="1295"/>
      <c r="I32" s="1295"/>
      <c r="J32" s="1295"/>
      <c r="K32" s="1295"/>
      <c r="L32" s="1296"/>
      <c r="M32" s="1295"/>
      <c r="N32" s="1295"/>
      <c r="O32" s="1295"/>
      <c r="S32" s="2887" t="s">
        <v>467</v>
      </c>
      <c r="T32" s="2887"/>
      <c r="U32" s="1299"/>
      <c r="V32" s="2888" t="str">
        <f>IF(TITLE_DATE_PR_CHANGE="",IF(TITLE_DATE_PR="","",TITLE_DATE_PR),TITLE_DATE_PR_CHANGE)</f>
        <v>14.11.2024</v>
      </c>
      <c r="W32" s="2888"/>
      <c r="X32" s="2888"/>
      <c r="Y32" s="2888"/>
      <c r="Z32" s="2888"/>
      <c r="AA32" s="2888"/>
      <c r="AB32" s="2888"/>
      <c r="AC32" s="2888"/>
      <c r="AD32" s="2888"/>
      <c r="AE32" s="2888"/>
      <c r="AF32" s="264"/>
      <c r="AG32" s="2888" t="str">
        <f>IF(TITLE_DATE_PR_CHANGE="",IF(TITLE_DATE_PR="","",TITLE_DATE_PR),TITLE_DATE_PR_CHANGE)</f>
        <v>14.11.2024</v>
      </c>
      <c r="AH32" s="2888"/>
      <c r="AI32" s="2888"/>
      <c r="AJ32" s="2888"/>
      <c r="AK32" s="2888"/>
      <c r="AL32" s="2888"/>
      <c r="AM32" s="2888"/>
      <c r="AN32" s="2888"/>
      <c r="AO32" s="2888"/>
      <c r="AP32" s="2888"/>
      <c r="AQ32" s="264"/>
      <c r="AR32" s="264"/>
      <c r="AS32" s="218"/>
      <c r="AT32" s="305"/>
      <c r="AU32" s="305"/>
      <c r="AV32" s="305"/>
      <c r="AW32" s="305"/>
      <c r="AX32" s="305"/>
      <c r="AY32" s="355">
        <v>0</v>
      </c>
    </row>
    <row r="33" spans="1:51" s="1778" customFormat="1" ht="18.75" customHeight="1">
      <c r="A33" s="1295"/>
      <c r="B33" s="1295"/>
      <c r="C33" s="1295"/>
      <c r="D33" s="1295"/>
      <c r="E33" s="1295"/>
      <c r="F33" s="1295"/>
      <c r="G33" s="1295"/>
      <c r="H33" s="1295"/>
      <c r="I33" s="1295"/>
      <c r="J33" s="1295"/>
      <c r="K33" s="1295"/>
      <c r="L33" s="1296"/>
      <c r="M33" s="1295"/>
      <c r="N33" s="1295"/>
      <c r="O33" s="1295"/>
      <c r="S33" s="2887" t="s">
        <v>468</v>
      </c>
      <c r="T33" s="2887"/>
      <c r="U33" s="1299"/>
      <c r="V33" s="2889" t="str">
        <f>IF(TITLE_NUMBER_PR_CHANGE="",IF(TITLE_NUMBER_PR="","",TITLE_NUMBER_PR),TITLE_NUMBER_PR_CHANGE)</f>
        <v>947 от 12.11.2024</v>
      </c>
      <c r="W33" s="2889"/>
      <c r="X33" s="2889"/>
      <c r="Y33" s="2889"/>
      <c r="Z33" s="2889"/>
      <c r="AA33" s="2889"/>
      <c r="AB33" s="2889"/>
      <c r="AC33" s="2889"/>
      <c r="AD33" s="2889"/>
      <c r="AE33" s="2889"/>
      <c r="AF33" s="264"/>
      <c r="AG33" s="2889" t="str">
        <f>IF(TITLE_NUMBER_PR_CHANGE="",IF(TITLE_NUMBER_PR="","",TITLE_NUMBER_PR),TITLE_NUMBER_PR_CHANGE)</f>
        <v>947 от 12.11.2024</v>
      </c>
      <c r="AH33" s="2889"/>
      <c r="AI33" s="2889"/>
      <c r="AJ33" s="2889"/>
      <c r="AK33" s="2889"/>
      <c r="AL33" s="2889"/>
      <c r="AM33" s="2889"/>
      <c r="AN33" s="2889"/>
      <c r="AO33" s="2889"/>
      <c r="AP33" s="2889"/>
      <c r="AQ33" s="264"/>
      <c r="AR33" s="264"/>
      <c r="AS33" s="218"/>
      <c r="AT33" s="305"/>
      <c r="AU33" s="305"/>
      <c r="AV33" s="305"/>
      <c r="AW33" s="305"/>
      <c r="AX33" s="305"/>
      <c r="AY33" s="355">
        <v>0</v>
      </c>
    </row>
    <row r="34" spans="1:51" s="1778" customFormat="1" ht="0.75" customHeight="1">
      <c r="A34" s="1295"/>
      <c r="B34" s="1295"/>
      <c r="C34" s="1295"/>
      <c r="D34" s="1295"/>
      <c r="E34" s="1295"/>
      <c r="F34" s="1295"/>
      <c r="G34" s="1295"/>
      <c r="H34" s="1295"/>
      <c r="I34" s="1295"/>
      <c r="J34" s="1295"/>
      <c r="K34" s="1295"/>
      <c r="L34" s="1296"/>
      <c r="M34" s="1295"/>
      <c r="N34" s="1295"/>
      <c r="O34" s="1295"/>
      <c r="S34" s="261"/>
      <c r="T34" s="261"/>
      <c r="U34" s="1415"/>
      <c r="V34" s="264"/>
      <c r="W34" s="1562"/>
      <c r="X34" s="1562"/>
      <c r="Y34" s="1562"/>
      <c r="Z34" s="1562"/>
      <c r="AA34" s="1562"/>
      <c r="AB34" s="264"/>
      <c r="AC34" s="264"/>
      <c r="AD34" s="264"/>
      <c r="AE34" s="264"/>
      <c r="AF34" s="216" t="s">
        <v>469</v>
      </c>
      <c r="AG34" s="264"/>
      <c r="AH34" s="1562"/>
      <c r="AI34" s="1562"/>
      <c r="AJ34" s="1562"/>
      <c r="AK34" s="1562"/>
      <c r="AL34" s="1562"/>
      <c r="AM34" s="264"/>
      <c r="AN34" s="264"/>
      <c r="AO34" s="264"/>
      <c r="AP34" s="264"/>
      <c r="AQ34" s="216" t="s">
        <v>469</v>
      </c>
      <c r="AT34" s="305"/>
      <c r="AU34" s="305"/>
      <c r="AV34" s="305"/>
      <c r="AW34" s="305"/>
      <c r="AX34" s="305"/>
      <c r="AY34" s="355">
        <v>1</v>
      </c>
    </row>
    <row r="35" spans="1:51" ht="15" customHeight="1">
      <c r="Q35" s="313"/>
      <c r="R35" s="313"/>
      <c r="S35" s="1202"/>
      <c r="T35" s="300"/>
      <c r="U35" s="1171"/>
      <c r="V35" s="2908"/>
      <c r="W35" s="2908"/>
      <c r="X35" s="2908"/>
      <c r="Y35" s="2908"/>
      <c r="Z35" s="2908"/>
      <c r="AA35" s="2908"/>
      <c r="AB35" s="2908"/>
      <c r="AC35" s="2908"/>
      <c r="AD35" s="2908"/>
      <c r="AE35" s="2908"/>
      <c r="AF35" s="2908"/>
      <c r="AG35" s="2908"/>
      <c r="AH35" s="2908"/>
      <c r="AI35" s="2908"/>
      <c r="AJ35" s="2908"/>
      <c r="AK35" s="2908"/>
      <c r="AL35" s="2908"/>
      <c r="AM35" s="2908"/>
      <c r="AN35" s="2908"/>
      <c r="AO35" s="2908"/>
      <c r="AP35" s="2908"/>
      <c r="AQ35" s="2908"/>
      <c r="AY35" s="1082">
        <v>14</v>
      </c>
    </row>
    <row r="36" spans="1:51" ht="15" customHeight="1">
      <c r="Q36" s="313"/>
      <c r="R36" s="313"/>
      <c r="S36" s="2758" t="s">
        <v>345</v>
      </c>
      <c r="T36" s="2758"/>
      <c r="U36" s="2758"/>
      <c r="V36" s="2758"/>
      <c r="W36" s="2758"/>
      <c r="X36" s="2758"/>
      <c r="Y36" s="2758"/>
      <c r="Z36" s="2758"/>
      <c r="AA36" s="2758"/>
      <c r="AB36" s="2758"/>
      <c r="AC36" s="2758"/>
      <c r="AD36" s="2758"/>
      <c r="AE36" s="2758"/>
      <c r="AF36" s="2758"/>
      <c r="AG36" s="2758"/>
      <c r="AH36" s="2758"/>
      <c r="AI36" s="2758"/>
      <c r="AJ36" s="2758"/>
      <c r="AK36" s="2758"/>
      <c r="AL36" s="2758"/>
      <c r="AM36" s="2758"/>
      <c r="AN36" s="2758"/>
      <c r="AO36" s="2758"/>
      <c r="AP36" s="2758"/>
      <c r="AQ36" s="2758"/>
      <c r="AR36" s="2758"/>
      <c r="AS36" s="2758" t="s">
        <v>346</v>
      </c>
      <c r="AY36" s="1082">
        <v>14</v>
      </c>
    </row>
    <row r="37" spans="1:51" ht="15" customHeight="1">
      <c r="Q37" s="313"/>
      <c r="R37" s="313"/>
      <c r="S37" s="2909" t="s">
        <v>93</v>
      </c>
      <c r="T37" s="2857" t="s">
        <v>470</v>
      </c>
      <c r="U37" s="239"/>
      <c r="V37" s="2910" t="s">
        <v>471</v>
      </c>
      <c r="W37" s="2911"/>
      <c r="X37" s="2911"/>
      <c r="Y37" s="2911"/>
      <c r="Z37" s="2911"/>
      <c r="AA37" s="2911"/>
      <c r="AB37" s="2911"/>
      <c r="AC37" s="2911"/>
      <c r="AD37" s="2911"/>
      <c r="AE37" s="2912"/>
      <c r="AF37" s="2913" t="s">
        <v>472</v>
      </c>
      <c r="AG37" s="2910" t="s">
        <v>471</v>
      </c>
      <c r="AH37" s="2911"/>
      <c r="AI37" s="2911"/>
      <c r="AJ37" s="2911"/>
      <c r="AK37" s="2911"/>
      <c r="AL37" s="2911"/>
      <c r="AM37" s="2911"/>
      <c r="AN37" s="2911"/>
      <c r="AO37" s="2911"/>
      <c r="AP37" s="2912"/>
      <c r="AQ37" s="2913" t="s">
        <v>473</v>
      </c>
      <c r="AR37" s="2916" t="s">
        <v>474</v>
      </c>
      <c r="AS37" s="2758"/>
      <c r="AY37" s="1082">
        <v>14</v>
      </c>
    </row>
    <row r="38" spans="1:51" s="1562" customFormat="1" ht="20.25" customHeight="1">
      <c r="A38" s="1293"/>
      <c r="B38" s="1293"/>
      <c r="C38" s="1293"/>
      <c r="D38" s="1293"/>
      <c r="E38" s="1293"/>
      <c r="F38" s="1293"/>
      <c r="G38" s="1293"/>
      <c r="H38" s="1293"/>
      <c r="I38" s="1293"/>
      <c r="J38" s="1293"/>
      <c r="K38" s="1293"/>
      <c r="L38" s="1902"/>
      <c r="M38" s="1289"/>
      <c r="N38" s="1289"/>
      <c r="O38" s="1289"/>
      <c r="P38" s="1903"/>
      <c r="Q38" s="313"/>
      <c r="R38" s="313"/>
      <c r="S38" s="2909"/>
      <c r="T38" s="2857"/>
      <c r="U38" s="961"/>
      <c r="V38" s="2758" t="s">
        <v>578</v>
      </c>
      <c r="W38" s="2981" t="s">
        <v>579</v>
      </c>
      <c r="X38" s="2981"/>
      <c r="Y38" s="2981"/>
      <c r="Z38" s="2981" t="s">
        <v>580</v>
      </c>
      <c r="AA38" s="2981"/>
      <c r="AB38" s="2981"/>
      <c r="AC38" s="2830" t="s">
        <v>478</v>
      </c>
      <c r="AD38" s="2939"/>
      <c r="AE38" s="2831"/>
      <c r="AF38" s="2914"/>
      <c r="AG38" s="2758" t="s">
        <v>578</v>
      </c>
      <c r="AH38" s="2981" t="s">
        <v>579</v>
      </c>
      <c r="AI38" s="2981"/>
      <c r="AJ38" s="2981"/>
      <c r="AK38" s="2981" t="s">
        <v>580</v>
      </c>
      <c r="AL38" s="2981"/>
      <c r="AM38" s="2981"/>
      <c r="AN38" s="2830" t="s">
        <v>478</v>
      </c>
      <c r="AO38" s="2939"/>
      <c r="AP38" s="2831"/>
      <c r="AQ38" s="2914"/>
      <c r="AR38" s="2917"/>
      <c r="AS38" s="2758"/>
      <c r="AT38" s="1563"/>
      <c r="AU38" s="1563"/>
      <c r="AV38" s="1563"/>
      <c r="AW38" s="1563"/>
      <c r="AX38" s="1563"/>
      <c r="AY38" s="1558">
        <v>19</v>
      </c>
    </row>
    <row r="39" spans="1:51" ht="20.25" customHeight="1">
      <c r="Q39" s="313"/>
      <c r="R39" s="313"/>
      <c r="S39" s="2909"/>
      <c r="T39" s="2857"/>
      <c r="U39" s="961"/>
      <c r="V39" s="2758"/>
      <c r="W39" s="2981" t="s">
        <v>581</v>
      </c>
      <c r="X39" s="2981" t="s">
        <v>582</v>
      </c>
      <c r="Y39" s="2981"/>
      <c r="Z39" s="2981" t="s">
        <v>583</v>
      </c>
      <c r="AA39" s="2981" t="s">
        <v>582</v>
      </c>
      <c r="AB39" s="2981"/>
      <c r="AC39" s="2835"/>
      <c r="AD39" s="2940"/>
      <c r="AE39" s="2836"/>
      <c r="AF39" s="2914"/>
      <c r="AG39" s="2758"/>
      <c r="AH39" s="2981" t="s">
        <v>581</v>
      </c>
      <c r="AI39" s="2981" t="s">
        <v>582</v>
      </c>
      <c r="AJ39" s="2981"/>
      <c r="AK39" s="2981" t="s">
        <v>583</v>
      </c>
      <c r="AL39" s="2981" t="s">
        <v>582</v>
      </c>
      <c r="AM39" s="2981"/>
      <c r="AN39" s="2835"/>
      <c r="AO39" s="2940"/>
      <c r="AP39" s="2836"/>
      <c r="AQ39" s="2914"/>
      <c r="AR39" s="2917"/>
      <c r="AS39" s="2758"/>
      <c r="AY39" s="1082">
        <v>19</v>
      </c>
    </row>
    <row r="40" spans="1:51" ht="62.25" customHeight="1">
      <c r="A40" s="1297"/>
      <c r="B40" s="1297" t="s">
        <v>140</v>
      </c>
      <c r="C40" s="1297" t="s">
        <v>141</v>
      </c>
      <c r="D40" s="1297" t="s">
        <v>142</v>
      </c>
      <c r="E40" s="1291" t="s">
        <v>479</v>
      </c>
      <c r="F40" s="1291" t="s">
        <v>480</v>
      </c>
      <c r="G40" s="1291" t="s">
        <v>481</v>
      </c>
      <c r="H40" s="1291"/>
      <c r="I40" s="1291" t="s">
        <v>536</v>
      </c>
      <c r="J40" s="1291" t="s">
        <v>484</v>
      </c>
      <c r="K40" s="1291" t="s">
        <v>537</v>
      </c>
      <c r="L40" s="1291" t="s">
        <v>460</v>
      </c>
      <c r="Q40" s="313"/>
      <c r="R40" s="313"/>
      <c r="S40" s="2909"/>
      <c r="T40" s="2857"/>
      <c r="U40" s="240"/>
      <c r="V40" s="2758"/>
      <c r="W40" s="2981"/>
      <c r="X40" s="1905" t="s">
        <v>584</v>
      </c>
      <c r="Y40" s="1905" t="s">
        <v>585</v>
      </c>
      <c r="Z40" s="2981"/>
      <c r="AA40" s="1905" t="s">
        <v>586</v>
      </c>
      <c r="AB40" s="1905" t="s">
        <v>587</v>
      </c>
      <c r="AC40" s="1416" t="s">
        <v>488</v>
      </c>
      <c r="AD40" s="2862" t="s">
        <v>489</v>
      </c>
      <c r="AE40" s="2876"/>
      <c r="AF40" s="2915"/>
      <c r="AG40" s="2758"/>
      <c r="AH40" s="2981"/>
      <c r="AI40" s="1905" t="s">
        <v>584</v>
      </c>
      <c r="AJ40" s="1905" t="s">
        <v>585</v>
      </c>
      <c r="AK40" s="2981"/>
      <c r="AL40" s="1905" t="s">
        <v>586</v>
      </c>
      <c r="AM40" s="1905" t="s">
        <v>587</v>
      </c>
      <c r="AN40" s="1416" t="s">
        <v>488</v>
      </c>
      <c r="AO40" s="2862" t="s">
        <v>489</v>
      </c>
      <c r="AP40" s="2876"/>
      <c r="AQ40" s="2915"/>
      <c r="AR40" s="2918"/>
      <c r="AS40" s="2758"/>
      <c r="AY40" s="1082">
        <v>59</v>
      </c>
    </row>
    <row r="41" spans="1:51" s="1568" customFormat="1" ht="11.25" hidden="1" customHeight="1">
      <c r="A41" s="1297"/>
      <c r="B41" s="1297"/>
      <c r="C41" s="1297"/>
      <c r="D41" s="1297"/>
      <c r="E41" s="1297"/>
      <c r="F41" s="1297"/>
      <c r="G41" s="1297"/>
      <c r="H41" s="1297"/>
      <c r="I41" s="1297"/>
      <c r="J41" s="1297"/>
      <c r="K41" s="1297"/>
      <c r="L41" s="1291"/>
      <c r="M41" s="1289"/>
      <c r="N41" s="1289"/>
      <c r="O41" s="1289"/>
      <c r="P41" s="1173"/>
      <c r="Q41" s="1174"/>
      <c r="R41" s="1181">
        <v>1</v>
      </c>
      <c r="S41" s="1204" t="s">
        <v>114</v>
      </c>
      <c r="T41" s="1182" t="s">
        <v>115</v>
      </c>
      <c r="U41" s="1172" t="str">
        <f ca="1">OFFSET(U41,0,-1)</f>
        <v>2</v>
      </c>
      <c r="V41" s="1409">
        <f ca="1">OFFSET(V41,0,-1)+1</f>
        <v>3</v>
      </c>
      <c r="W41" s="1901"/>
      <c r="X41" s="1901"/>
      <c r="Y41" s="1901"/>
      <c r="Z41" s="1901"/>
      <c r="AA41" s="1901"/>
      <c r="AB41" s="1409">
        <f ca="1">OFFSET(AB41,0,-1)+1</f>
        <v>1</v>
      </c>
      <c r="AC41" s="1409">
        <f ca="1">OFFSET(AC41,0,-1)+1</f>
        <v>2</v>
      </c>
      <c r="AD41" s="2907">
        <f ca="1">OFFSET(AD41,0,-1)+1</f>
        <v>3</v>
      </c>
      <c r="AE41" s="2907"/>
      <c r="AF41" s="1409">
        <f ca="1">OFFSET(AF41,0,-2)+1</f>
        <v>4</v>
      </c>
      <c r="AG41" s="1409">
        <f ca="1">OFFSET(AG41,0,-1)+1</f>
        <v>5</v>
      </c>
      <c r="AH41" s="1901"/>
      <c r="AI41" s="1901"/>
      <c r="AJ41" s="1901"/>
      <c r="AK41" s="1901"/>
      <c r="AL41" s="1901"/>
      <c r="AM41" s="1409">
        <f ca="1">OFFSET(AM41,0,-1)+1</f>
        <v>1</v>
      </c>
      <c r="AN41" s="1409">
        <f ca="1">OFFSET(AN41,0,-1)+1</f>
        <v>2</v>
      </c>
      <c r="AO41" s="2907">
        <f ca="1">OFFSET(AO41,0,-1)+1</f>
        <v>3</v>
      </c>
      <c r="AP41" s="2907"/>
      <c r="AQ41" s="1409">
        <f ca="1">OFFSET(AQ41,0,-2)+1</f>
        <v>4</v>
      </c>
      <c r="AR41" s="1172">
        <f ca="1">OFFSET(AR41,0,-1)</f>
        <v>4</v>
      </c>
      <c r="AS41" s="1409">
        <f ca="1">OFFSET(AS41,0,-1)+1</f>
        <v>5</v>
      </c>
      <c r="AT41" s="448"/>
      <c r="AU41" s="448"/>
      <c r="AV41" s="448"/>
      <c r="AW41" s="448"/>
      <c r="AX41" s="448"/>
      <c r="AY41" s="433">
        <v>0</v>
      </c>
    </row>
    <row r="42" spans="1:51" ht="24" customHeight="1">
      <c r="A42" s="1290" t="s">
        <v>301</v>
      </c>
      <c r="B42" s="1290"/>
      <c r="C42" s="1290"/>
      <c r="D42" s="1290"/>
      <c r="E42" s="2896">
        <v>1</v>
      </c>
      <c r="F42" s="1290"/>
      <c r="G42" s="1290"/>
      <c r="H42" s="1290"/>
      <c r="I42" s="1290"/>
      <c r="J42" s="1290"/>
      <c r="K42" s="1290"/>
      <c r="L42" s="1291"/>
      <c r="M42" s="1292"/>
      <c r="N42" s="1292"/>
      <c r="O42" s="1292"/>
      <c r="P42" s="298"/>
      <c r="Q42" s="297"/>
      <c r="R42" s="292"/>
      <c r="S42" s="1420">
        <f>INDEX(PT_DIFFERENTIATION_NUM_NTAR,MATCH(A42,PT_DIFFERENTIATION_NTAR_ID,0))</f>
        <v>0</v>
      </c>
      <c r="T42" s="236" t="s">
        <v>128</v>
      </c>
      <c r="U42" s="238"/>
      <c r="V42" s="2890"/>
      <c r="W42" s="2891"/>
      <c r="X42" s="2891"/>
      <c r="Y42" s="2891"/>
      <c r="Z42" s="2891"/>
      <c r="AA42" s="2891"/>
      <c r="AB42" s="2891"/>
      <c r="AC42" s="2891"/>
      <c r="AD42" s="2891"/>
      <c r="AE42" s="2891"/>
      <c r="AF42" s="2892"/>
      <c r="AG42" s="2890" t="str">
        <f>INDEX(PT_DIFFERENTIATION_NTAR,MATCH(A42,PT_DIFFERENTIATION_NTAR_ID,0))</f>
        <v/>
      </c>
      <c r="AH42" s="2891"/>
      <c r="AI42" s="2891"/>
      <c r="AJ42" s="2891"/>
      <c r="AK42" s="2891"/>
      <c r="AL42" s="2891"/>
      <c r="AM42" s="2891"/>
      <c r="AN42" s="2891"/>
      <c r="AO42" s="2891"/>
      <c r="AP42" s="2891"/>
      <c r="AQ42" s="2891"/>
      <c r="AR42" s="2892"/>
      <c r="AS4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AU42" s="437"/>
      <c r="AV42" s="437" t="str">
        <f t="shared" ref="AV42:AV54" si="1">IF(T42="","",T42)</f>
        <v>Наименование тарифа</v>
      </c>
      <c r="AW42" s="437"/>
      <c r="AX42" s="437"/>
      <c r="AY42" s="1082">
        <v>23</v>
      </c>
    </row>
    <row r="43" spans="1:51" ht="24" customHeight="1">
      <c r="A43" s="1290" t="s">
        <v>301</v>
      </c>
      <c r="B43" s="1290" t="s">
        <v>302</v>
      </c>
      <c r="C43" s="1290"/>
      <c r="D43" s="1290"/>
      <c r="E43" s="2897"/>
      <c r="F43" s="2896">
        <v>1</v>
      </c>
      <c r="G43" s="1290"/>
      <c r="H43" s="1290"/>
      <c r="I43" s="1290"/>
      <c r="J43" s="1290"/>
      <c r="K43" s="1290"/>
      <c r="L43" s="1291"/>
      <c r="M43" s="1292"/>
      <c r="N43" s="1292"/>
      <c r="O43" s="1292"/>
      <c r="P43" s="1414"/>
      <c r="Q43" s="289"/>
      <c r="R43" s="290"/>
      <c r="S43" s="1420" t="str">
        <f>INDEX(PT_DIFFERENTIATION_NUM_TER,MATCH(B43,PT_DIFFERENTIATION_TER_ID,0))</f>
        <v>.</v>
      </c>
      <c r="T43" s="246" t="s">
        <v>442</v>
      </c>
      <c r="U43" s="238"/>
      <c r="V43" s="2890"/>
      <c r="W43" s="2891"/>
      <c r="X43" s="2891"/>
      <c r="Y43" s="2891"/>
      <c r="Z43" s="2891"/>
      <c r="AA43" s="2891"/>
      <c r="AB43" s="2891"/>
      <c r="AC43" s="2891"/>
      <c r="AD43" s="2891"/>
      <c r="AE43" s="2891"/>
      <c r="AF43" s="2892"/>
      <c r="AG43" s="2890" t="str">
        <f>INDEX(PT_DIFFERENTIATION_TER,MATCH(B43,PT_DIFFERENTIATION_TER_ID,0))</f>
        <v/>
      </c>
      <c r="AH43" s="2891"/>
      <c r="AI43" s="2891"/>
      <c r="AJ43" s="2891"/>
      <c r="AK43" s="2891"/>
      <c r="AL43" s="2891"/>
      <c r="AM43" s="2891"/>
      <c r="AN43" s="2891"/>
      <c r="AO43" s="2891"/>
      <c r="AP43" s="2891"/>
      <c r="AQ43" s="2891"/>
      <c r="AR43" s="2892"/>
      <c r="AS43" s="1185" t="s">
        <v>443</v>
      </c>
      <c r="AU43" s="437"/>
      <c r="AV43" s="437" t="str">
        <f t="shared" si="1"/>
        <v>Территория действия тарифа</v>
      </c>
      <c r="AW43" s="437"/>
      <c r="AX43" s="437"/>
      <c r="AY43" s="1082">
        <v>23</v>
      </c>
    </row>
    <row r="44" spans="1:51" ht="24" customHeight="1">
      <c r="A44" s="1290" t="s">
        <v>301</v>
      </c>
      <c r="B44" s="1290" t="s">
        <v>302</v>
      </c>
      <c r="C44" s="1290" t="s">
        <v>303</v>
      </c>
      <c r="D44" s="1290"/>
      <c r="E44" s="2897"/>
      <c r="F44" s="2897"/>
      <c r="G44" s="2896">
        <v>1</v>
      </c>
      <c r="H44" s="1290"/>
      <c r="I44" s="1290"/>
      <c r="J44" s="1290"/>
      <c r="K44" s="1290"/>
      <c r="L44" s="1291"/>
      <c r="M44" s="1292"/>
      <c r="N44" s="1292"/>
      <c r="O44" s="1292"/>
      <c r="P44" s="291"/>
      <c r="Q44" s="289"/>
      <c r="R44" s="290"/>
      <c r="S44" s="1420" t="str">
        <f>INDEX(PT_DIFFERENTIATION_NUM_CS,MATCH(C44,PT_DIFFERENTIATION_CS_ID,0))</f>
        <v>..</v>
      </c>
      <c r="T44" s="247" t="s">
        <v>576</v>
      </c>
      <c r="U44" s="238"/>
      <c r="V44" s="2890"/>
      <c r="W44" s="2891"/>
      <c r="X44" s="2891"/>
      <c r="Y44" s="2891"/>
      <c r="Z44" s="2891"/>
      <c r="AA44" s="2891"/>
      <c r="AB44" s="2891"/>
      <c r="AC44" s="2891"/>
      <c r="AD44" s="2891"/>
      <c r="AE44" s="2891"/>
      <c r="AF44" s="2892"/>
      <c r="AG44" s="2890" t="str">
        <f>INDEX(PT_DIFFERENTIATION_CS,MATCH(C44,PT_DIFFERENTIATION_CS_ID,0))</f>
        <v/>
      </c>
      <c r="AH44" s="2891"/>
      <c r="AI44" s="2891"/>
      <c r="AJ44" s="2891"/>
      <c r="AK44" s="2891"/>
      <c r="AL44" s="2891"/>
      <c r="AM44" s="2891"/>
      <c r="AN44" s="2891"/>
      <c r="AO44" s="2891"/>
      <c r="AP44" s="2891"/>
      <c r="AQ44" s="2891"/>
      <c r="AR44" s="2892"/>
      <c r="AS44" s="1185" t="s">
        <v>577</v>
      </c>
      <c r="AU44" s="437"/>
      <c r="AV44" s="437" t="str">
        <f t="shared" si="1"/>
        <v>Наименование централизованной системы горячего водоснабжения</v>
      </c>
      <c r="AW44" s="437"/>
      <c r="AX44" s="437"/>
      <c r="AY44" s="1082">
        <v>23</v>
      </c>
    </row>
    <row r="45" spans="1:51" ht="24" customHeight="1">
      <c r="A45" s="1290" t="s">
        <v>301</v>
      </c>
      <c r="B45" s="1290" t="s">
        <v>302</v>
      </c>
      <c r="C45" s="1290" t="s">
        <v>303</v>
      </c>
      <c r="D45" s="1290" t="s">
        <v>589</v>
      </c>
      <c r="E45" s="2897"/>
      <c r="F45" s="2897"/>
      <c r="G45" s="2897"/>
      <c r="H45" s="2897"/>
      <c r="I45" s="2898" t="str">
        <f>S44&amp;".1"</f>
        <v>...1</v>
      </c>
      <c r="J45" s="1290"/>
      <c r="K45" s="1290"/>
      <c r="L45" s="1291"/>
      <c r="P45" s="2900">
        <v>1</v>
      </c>
      <c r="Q45" s="1408"/>
      <c r="R45" s="293"/>
      <c r="S45" s="1420" t="str">
        <f>$I45</f>
        <v>...1</v>
      </c>
      <c r="T45" s="223" t="s">
        <v>529</v>
      </c>
      <c r="U45" s="238"/>
      <c r="V45" s="2965"/>
      <c r="W45" s="2966"/>
      <c r="X45" s="2966"/>
      <c r="Y45" s="2966"/>
      <c r="Z45" s="2966"/>
      <c r="AA45" s="2966"/>
      <c r="AB45" s="2966"/>
      <c r="AC45" s="2966"/>
      <c r="AD45" s="2966"/>
      <c r="AE45" s="2966"/>
      <c r="AF45" s="2967"/>
      <c r="AG45" s="2968"/>
      <c r="AH45" s="2969"/>
      <c r="AI45" s="2969"/>
      <c r="AJ45" s="2969"/>
      <c r="AK45" s="2969"/>
      <c r="AL45" s="2969"/>
      <c r="AM45" s="2969"/>
      <c r="AN45" s="2969"/>
      <c r="AO45" s="2969"/>
      <c r="AP45" s="2969"/>
      <c r="AQ45" s="2969"/>
      <c r="AR45" s="2970"/>
      <c r="AS45" s="1185" t="s">
        <v>530</v>
      </c>
      <c r="AU45" s="437"/>
      <c r="AV45" s="437" t="str">
        <f t="shared" si="1"/>
        <v>Наименование признака дифференциации</v>
      </c>
      <c r="AW45" s="437"/>
      <c r="AX45" s="437"/>
      <c r="AY45" s="1082">
        <v>23</v>
      </c>
    </row>
    <row r="46" spans="1:51" ht="24" customHeight="1">
      <c r="A46" s="1290" t="s">
        <v>301</v>
      </c>
      <c r="B46" s="1290" t="s">
        <v>302</v>
      </c>
      <c r="C46" s="1290" t="s">
        <v>303</v>
      </c>
      <c r="D46" s="1290" t="s">
        <v>589</v>
      </c>
      <c r="E46" s="2897"/>
      <c r="F46" s="2897"/>
      <c r="G46" s="2897"/>
      <c r="H46" s="2897"/>
      <c r="I46" s="2899"/>
      <c r="J46" s="2898" t="str">
        <f>I45&amp;".1"</f>
        <v>...1.1</v>
      </c>
      <c r="K46" s="1290"/>
      <c r="L46" s="1291" t="s">
        <v>451</v>
      </c>
      <c r="P46" s="2900"/>
      <c r="Q46" s="2900">
        <v>1</v>
      </c>
      <c r="R46" s="294"/>
      <c r="S46" s="1420" t="str">
        <f>$J46</f>
        <v>...1.1</v>
      </c>
      <c r="T46" s="224" t="s">
        <v>452</v>
      </c>
      <c r="U46" s="238"/>
      <c r="V46" s="2884"/>
      <c r="W46" s="2885"/>
      <c r="X46" s="2885"/>
      <c r="Y46" s="2885"/>
      <c r="Z46" s="2885"/>
      <c r="AA46" s="2885"/>
      <c r="AB46" s="2885"/>
      <c r="AC46" s="2885"/>
      <c r="AD46" s="2885"/>
      <c r="AE46" s="2885"/>
      <c r="AF46" s="2886"/>
      <c r="AG46" s="2884"/>
      <c r="AH46" s="2885"/>
      <c r="AI46" s="2885"/>
      <c r="AJ46" s="2885"/>
      <c r="AK46" s="2885"/>
      <c r="AL46" s="2885"/>
      <c r="AM46" s="2885"/>
      <c r="AN46" s="2885"/>
      <c r="AO46" s="2885"/>
      <c r="AP46" s="2885"/>
      <c r="AQ46" s="2885"/>
      <c r="AR46" s="2886"/>
      <c r="AS46" s="1234" t="s">
        <v>531</v>
      </c>
      <c r="AU46" s="437"/>
      <c r="AV46" s="437" t="str">
        <f t="shared" si="1"/>
        <v>Группа потребителей</v>
      </c>
      <c r="AW46" s="437"/>
      <c r="AX46" s="437"/>
      <c r="AY46" s="1082">
        <v>23</v>
      </c>
    </row>
    <row r="47" spans="1:51" ht="24" customHeight="1">
      <c r="A47" s="1290" t="s">
        <v>301</v>
      </c>
      <c r="B47" s="1290" t="s">
        <v>302</v>
      </c>
      <c r="C47" s="1290" t="s">
        <v>303</v>
      </c>
      <c r="D47" s="1290" t="s">
        <v>589</v>
      </c>
      <c r="E47" s="2897"/>
      <c r="F47" s="2897"/>
      <c r="G47" s="2897"/>
      <c r="H47" s="2897"/>
      <c r="I47" s="2899"/>
      <c r="J47" s="2899"/>
      <c r="K47" s="2898" t="str">
        <f>J46&amp;".1"</f>
        <v>...1.1.1</v>
      </c>
      <c r="L47" s="1291"/>
      <c r="P47" s="2900"/>
      <c r="Q47" s="2900"/>
      <c r="R47" s="294">
        <v>1</v>
      </c>
      <c r="S47" s="1420" t="str">
        <f>$K47</f>
        <v>...1.1.1</v>
      </c>
      <c r="T47" s="1364"/>
      <c r="U47" s="238"/>
      <c r="V47" s="1287"/>
      <c r="W47" s="1287"/>
      <c r="X47" s="1287"/>
      <c r="Y47" s="1287"/>
      <c r="Z47" s="1287"/>
      <c r="AA47" s="1287"/>
      <c r="AB47" s="1288"/>
      <c r="AC47" s="2894"/>
      <c r="AD47" s="2893" t="s">
        <v>71</v>
      </c>
      <c r="AE47" s="2894"/>
      <c r="AF47" s="2893" t="s">
        <v>71</v>
      </c>
      <c r="AG47" s="688"/>
      <c r="AH47" s="688"/>
      <c r="AI47" s="688"/>
      <c r="AJ47" s="688"/>
      <c r="AK47" s="688"/>
      <c r="AL47" s="688"/>
      <c r="AM47" s="1184"/>
      <c r="AN47" s="2901"/>
      <c r="AO47" s="2768" t="s">
        <v>71</v>
      </c>
      <c r="AP47" s="2903"/>
      <c r="AQ47" s="2768" t="s">
        <v>19</v>
      </c>
      <c r="AR47" s="1365"/>
      <c r="AS47" s="2971" t="str">
        <f>"В колонке 'Параметр дифференциации тарифов' указывается значение дополнительного признака дифференциации.
При "&amp;IF(TEMPLATE_GROUP="P","утверждении двухставочного тарифа","подаче предложения на двухставочный тариф")&amp;" колонка 'Одноставочный тариф' не заполняется.
При "&amp;IF(TEMPLATE_GROUP="P","утверждении одноставочного тарифа","подаче предложения на одноставочный тариф")&amp;"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f>
        <v>В колонке 'Параметр дифференциации тарифов' указывается значение дополнительного признака дифференциации.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v>
      </c>
      <c r="AT47" s="448" t="e">
        <f ca="1">STRCHECKDATE(V48:AR48)</f>
        <v>#NAME?</v>
      </c>
      <c r="AU47" s="437"/>
      <c r="AV47" s="437" t="str">
        <f t="shared" si="1"/>
        <v/>
      </c>
      <c r="AW47" s="437"/>
      <c r="AX47" s="437"/>
      <c r="AY47" s="1082">
        <v>23</v>
      </c>
    </row>
    <row r="48" spans="1:51" ht="0" hidden="1" customHeight="1">
      <c r="A48" s="1290" t="s">
        <v>301</v>
      </c>
      <c r="B48" s="1290" t="s">
        <v>302</v>
      </c>
      <c r="C48" s="1290" t="s">
        <v>303</v>
      </c>
      <c r="D48" s="1290" t="s">
        <v>589</v>
      </c>
      <c r="E48" s="2897"/>
      <c r="F48" s="2897"/>
      <c r="G48" s="2897"/>
      <c r="H48" s="2897"/>
      <c r="I48" s="2899"/>
      <c r="J48" s="2899"/>
      <c r="K48" s="2898"/>
      <c r="L48" s="1291"/>
      <c r="P48" s="2900"/>
      <c r="Q48" s="2900"/>
      <c r="R48" s="294"/>
      <c r="S48" s="1417"/>
      <c r="T48" s="238"/>
      <c r="U48" s="238"/>
      <c r="V48" s="1287"/>
      <c r="W48" s="1287"/>
      <c r="X48" s="1287"/>
      <c r="Y48" s="1287"/>
      <c r="Z48" s="1287"/>
      <c r="AA48" s="1287"/>
      <c r="AB48" s="266" t="str">
        <f>AC47&amp;"-"&amp;AE47</f>
        <v>-</v>
      </c>
      <c r="AC48" s="2893"/>
      <c r="AD48" s="2893"/>
      <c r="AE48" s="2893"/>
      <c r="AF48" s="2893"/>
      <c r="AG48" s="263"/>
      <c r="AH48" s="263"/>
      <c r="AI48" s="263"/>
      <c r="AJ48" s="263"/>
      <c r="AK48" s="263"/>
      <c r="AL48" s="263"/>
      <c r="AM48" s="266" t="str">
        <f>AN47&amp;"-"&amp;AP47</f>
        <v>-</v>
      </c>
      <c r="AN48" s="2902"/>
      <c r="AO48" s="2768"/>
      <c r="AP48" s="2904"/>
      <c r="AQ48" s="2768"/>
      <c r="AR48" s="1366"/>
      <c r="AS48" s="2971"/>
      <c r="AU48" s="437"/>
      <c r="AV48" s="437" t="str">
        <f t="shared" si="1"/>
        <v/>
      </c>
      <c r="AW48" s="437"/>
      <c r="AX48" s="437"/>
      <c r="AY48" s="1082">
        <v>0</v>
      </c>
    </row>
    <row r="49" spans="1:51" ht="21" customHeight="1">
      <c r="A49" s="1290" t="s">
        <v>301</v>
      </c>
      <c r="B49" s="1290" t="s">
        <v>302</v>
      </c>
      <c r="C49" s="1290" t="s">
        <v>303</v>
      </c>
      <c r="D49" s="1290" t="s">
        <v>589</v>
      </c>
      <c r="E49" s="2897"/>
      <c r="F49" s="2897"/>
      <c r="G49" s="2897"/>
      <c r="H49" s="2897"/>
      <c r="I49" s="2899"/>
      <c r="J49" s="2898"/>
      <c r="K49" s="1290"/>
      <c r="L49" s="1291"/>
      <c r="P49" s="2900"/>
      <c r="Q49" s="2900"/>
      <c r="R49" s="293"/>
      <c r="S49" s="1205"/>
      <c r="T49" s="225" t="s">
        <v>532</v>
      </c>
      <c r="U49" s="304"/>
      <c r="V49" s="304"/>
      <c r="W49" s="537"/>
      <c r="X49" s="537"/>
      <c r="Y49" s="537"/>
      <c r="Z49" s="537"/>
      <c r="AA49" s="537"/>
      <c r="AB49" s="304"/>
      <c r="AC49" s="304"/>
      <c r="AD49" s="304"/>
      <c r="AE49" s="304"/>
      <c r="AF49" s="304"/>
      <c r="AG49" s="304"/>
      <c r="AH49" s="537"/>
      <c r="AI49" s="537"/>
      <c r="AJ49" s="537"/>
      <c r="AK49" s="537"/>
      <c r="AL49" s="537"/>
      <c r="AM49" s="304"/>
      <c r="AN49" s="304"/>
      <c r="AO49" s="304"/>
      <c r="AP49" s="304"/>
      <c r="AQ49" s="304"/>
      <c r="AR49" s="304"/>
      <c r="AS49" s="1185" t="s">
        <v>533</v>
      </c>
      <c r="AU49" s="437"/>
      <c r="AV49" s="437" t="str">
        <f t="shared" si="1"/>
        <v>Добавить значение признака дифференциации</v>
      </c>
      <c r="AW49" s="437"/>
      <c r="AX49" s="437"/>
      <c r="AY49" s="1082">
        <v>20</v>
      </c>
    </row>
    <row r="50" spans="1:51" ht="21.75" customHeight="1">
      <c r="A50" s="1290" t="s">
        <v>301</v>
      </c>
      <c r="B50" s="1290" t="s">
        <v>302</v>
      </c>
      <c r="C50" s="1290" t="s">
        <v>303</v>
      </c>
      <c r="D50" s="1290" t="s">
        <v>589</v>
      </c>
      <c r="E50" s="2897"/>
      <c r="F50" s="2897"/>
      <c r="G50" s="2897"/>
      <c r="H50" s="2897"/>
      <c r="I50" s="2898"/>
      <c r="J50" s="1290"/>
      <c r="K50" s="1290"/>
      <c r="L50" s="1291"/>
      <c r="P50" s="2900"/>
      <c r="Q50" s="1408"/>
      <c r="R50" s="293"/>
      <c r="S50" s="1205"/>
      <c r="T50" s="302" t="s">
        <v>457</v>
      </c>
      <c r="U50" s="304"/>
      <c r="V50" s="304"/>
      <c r="W50" s="537"/>
      <c r="X50" s="537"/>
      <c r="Y50" s="537"/>
      <c r="Z50" s="537"/>
      <c r="AA50" s="537"/>
      <c r="AB50" s="304"/>
      <c r="AC50" s="304"/>
      <c r="AD50" s="304"/>
      <c r="AE50" s="304"/>
      <c r="AF50" s="303"/>
      <c r="AG50" s="304"/>
      <c r="AH50" s="537"/>
      <c r="AI50" s="537"/>
      <c r="AJ50" s="537"/>
      <c r="AK50" s="537"/>
      <c r="AL50" s="537"/>
      <c r="AM50" s="304"/>
      <c r="AN50" s="304"/>
      <c r="AO50" s="304"/>
      <c r="AP50" s="304"/>
      <c r="AQ50" s="303"/>
      <c r="AR50" s="304"/>
      <c r="AS50" s="1367"/>
      <c r="AU50" s="437"/>
      <c r="AV50" s="437" t="str">
        <f t="shared" si="1"/>
        <v>Добавить группу потребителей</v>
      </c>
      <c r="AW50" s="437"/>
      <c r="AX50" s="437"/>
      <c r="AY50" s="1082">
        <v>21</v>
      </c>
    </row>
    <row r="51" spans="1:51" ht="21.75" customHeight="1">
      <c r="A51" s="1290" t="s">
        <v>301</v>
      </c>
      <c r="B51" s="1290" t="s">
        <v>302</v>
      </c>
      <c r="C51" s="1290" t="s">
        <v>303</v>
      </c>
      <c r="D51" s="1290" t="s">
        <v>589</v>
      </c>
      <c r="E51" s="2897"/>
      <c r="F51" s="2897"/>
      <c r="G51" s="2897"/>
      <c r="H51" s="2896"/>
      <c r="I51" s="1290"/>
      <c r="J51" s="1290"/>
      <c r="K51" s="1290"/>
      <c r="L51" s="1291"/>
      <c r="M51" s="1292"/>
      <c r="N51" s="1292"/>
      <c r="O51" s="474"/>
      <c r="P51" s="297"/>
      <c r="Q51" s="312"/>
      <c r="R51" s="292"/>
      <c r="S51" s="1205"/>
      <c r="T51" s="309" t="s">
        <v>534</v>
      </c>
      <c r="U51" s="304"/>
      <c r="V51" s="304"/>
      <c r="W51" s="537"/>
      <c r="X51" s="537"/>
      <c r="Y51" s="537"/>
      <c r="Z51" s="537"/>
      <c r="AA51" s="537"/>
      <c r="AB51" s="304"/>
      <c r="AC51" s="304"/>
      <c r="AD51" s="304"/>
      <c r="AE51" s="304"/>
      <c r="AF51" s="303"/>
      <c r="AG51" s="304"/>
      <c r="AH51" s="537"/>
      <c r="AI51" s="537"/>
      <c r="AJ51" s="537"/>
      <c r="AK51" s="537"/>
      <c r="AL51" s="537"/>
      <c r="AM51" s="304"/>
      <c r="AN51" s="304"/>
      <c r="AO51" s="304"/>
      <c r="AP51" s="304"/>
      <c r="AQ51" s="303"/>
      <c r="AR51" s="304"/>
      <c r="AS51" s="241"/>
      <c r="AU51" s="437"/>
      <c r="AV51" s="437" t="str">
        <f t="shared" si="1"/>
        <v>Добавить наименование признака дифференциации</v>
      </c>
      <c r="AW51" s="437"/>
      <c r="AX51" s="437"/>
      <c r="AY51" s="1082">
        <v>21</v>
      </c>
    </row>
    <row r="52" spans="1:51" s="1569" customFormat="1" ht="0" hidden="1" customHeight="1">
      <c r="A52" s="1270" t="s">
        <v>301</v>
      </c>
      <c r="B52" s="1270" t="s">
        <v>302</v>
      </c>
      <c r="C52" s="1241"/>
      <c r="D52" s="1241"/>
      <c r="E52" s="2897"/>
      <c r="F52" s="2896"/>
      <c r="G52" s="1241"/>
      <c r="H52" s="1241"/>
      <c r="I52" s="1241"/>
      <c r="J52" s="1241"/>
      <c r="K52" s="1241"/>
      <c r="L52" s="1421"/>
      <c r="M52" s="1248"/>
      <c r="N52" s="1248"/>
      <c r="P52" s="1243"/>
      <c r="Q52" s="1244"/>
      <c r="R52" s="1243"/>
      <c r="S52" s="1249"/>
      <c r="T52" s="1252" t="s">
        <v>176</v>
      </c>
      <c r="U52" s="1251"/>
      <c r="V52" s="1251"/>
      <c r="W52" s="1251"/>
      <c r="X52" s="1251"/>
      <c r="Y52" s="1251"/>
      <c r="Z52" s="1251"/>
      <c r="AA52" s="1251"/>
      <c r="AB52" s="1251"/>
      <c r="AC52" s="1251"/>
      <c r="AD52" s="1251"/>
      <c r="AE52" s="1251"/>
      <c r="AF52" s="1251"/>
      <c r="AG52" s="1251"/>
      <c r="AH52" s="1251"/>
      <c r="AI52" s="1251"/>
      <c r="AJ52" s="1251"/>
      <c r="AK52" s="1251"/>
      <c r="AL52" s="1251"/>
      <c r="AM52" s="1251"/>
      <c r="AN52" s="1251"/>
      <c r="AO52" s="1251"/>
      <c r="AP52" s="1251"/>
      <c r="AQ52" s="1251"/>
      <c r="AR52" s="1251"/>
      <c r="AS52" s="1251"/>
      <c r="AU52" s="720"/>
      <c r="AV52" s="720" t="str">
        <f t="shared" si="1"/>
        <v>Добавить централизованную систему для дифференциации</v>
      </c>
      <c r="AW52" s="720"/>
      <c r="AX52" s="720"/>
      <c r="AY52" s="455">
        <v>0</v>
      </c>
    </row>
    <row r="53" spans="1:51" s="1569" customFormat="1" ht="0" hidden="1" customHeight="1">
      <c r="A53" s="1270" t="s">
        <v>301</v>
      </c>
      <c r="B53" s="1270"/>
      <c r="C53" s="1270"/>
      <c r="D53" s="1270"/>
      <c r="E53" s="2896"/>
      <c r="F53" s="1270"/>
      <c r="G53" s="1270"/>
      <c r="H53" s="1270"/>
      <c r="I53" s="1270"/>
      <c r="J53" s="1270"/>
      <c r="K53" s="1270"/>
      <c r="L53" s="1273"/>
      <c r="M53" s="1248"/>
      <c r="N53" s="1248"/>
      <c r="O53" s="455"/>
      <c r="P53" s="317"/>
      <c r="Q53" s="1271"/>
      <c r="R53" s="317"/>
      <c r="S53" s="1249"/>
      <c r="T53" s="1252" t="s">
        <v>178</v>
      </c>
      <c r="U53" s="1251"/>
      <c r="V53" s="1251"/>
      <c r="W53" s="1251"/>
      <c r="X53" s="1251"/>
      <c r="Y53" s="1251"/>
      <c r="Z53" s="1251"/>
      <c r="AA53" s="1251"/>
      <c r="AB53" s="1251"/>
      <c r="AC53" s="1251"/>
      <c r="AD53" s="1251"/>
      <c r="AE53" s="1251"/>
      <c r="AF53" s="1251"/>
      <c r="AG53" s="1251"/>
      <c r="AH53" s="1251"/>
      <c r="AI53" s="1251"/>
      <c r="AJ53" s="1251"/>
      <c r="AK53" s="1251"/>
      <c r="AL53" s="1251"/>
      <c r="AM53" s="1251"/>
      <c r="AN53" s="1251"/>
      <c r="AO53" s="1251"/>
      <c r="AP53" s="1251"/>
      <c r="AQ53" s="1251"/>
      <c r="AR53" s="1251"/>
      <c r="AS53" s="1251"/>
      <c r="AU53" s="437"/>
      <c r="AV53" s="437" t="str">
        <f t="shared" si="1"/>
        <v>Добавить территорию для дифференциации</v>
      </c>
      <c r="AW53" s="437"/>
      <c r="AX53" s="437"/>
      <c r="AY53" s="448">
        <v>0</v>
      </c>
    </row>
    <row r="54" spans="1:51" s="1569" customFormat="1" ht="0" hidden="1" customHeight="1">
      <c r="A54" s="1241"/>
      <c r="B54" s="1241"/>
      <c r="C54" s="1241"/>
      <c r="D54" s="1241"/>
      <c r="E54" s="1270"/>
      <c r="F54" s="1241"/>
      <c r="G54" s="1241"/>
      <c r="H54" s="1241"/>
      <c r="I54" s="1241"/>
      <c r="J54" s="1241"/>
      <c r="K54" s="1241"/>
      <c r="L54" s="1421"/>
      <c r="M54" s="1248"/>
      <c r="N54" s="1248"/>
      <c r="P54" s="1243"/>
      <c r="Q54" s="1244"/>
      <c r="R54" s="1243"/>
      <c r="S54" s="1249"/>
      <c r="T54" s="1252" t="s">
        <v>212</v>
      </c>
      <c r="U54" s="1251"/>
      <c r="V54" s="1251"/>
      <c r="W54" s="1251"/>
      <c r="X54" s="1251"/>
      <c r="Y54" s="1251"/>
      <c r="Z54" s="1251"/>
      <c r="AA54" s="1251"/>
      <c r="AB54" s="1251"/>
      <c r="AC54" s="1251"/>
      <c r="AD54" s="1251"/>
      <c r="AE54" s="1251"/>
      <c r="AF54" s="1251"/>
      <c r="AG54" s="1251"/>
      <c r="AH54" s="1251"/>
      <c r="AI54" s="1251"/>
      <c r="AJ54" s="1251"/>
      <c r="AK54" s="1251"/>
      <c r="AL54" s="1251"/>
      <c r="AM54" s="1251"/>
      <c r="AN54" s="1251"/>
      <c r="AO54" s="1251"/>
      <c r="AP54" s="1251"/>
      <c r="AQ54" s="1251"/>
      <c r="AR54" s="1251"/>
      <c r="AS54" s="1251"/>
      <c r="AU54" s="720"/>
      <c r="AV54" s="720" t="str">
        <f t="shared" si="1"/>
        <v>Добавить наименование тарифа</v>
      </c>
      <c r="AW54" s="720"/>
      <c r="AX54" s="720"/>
      <c r="AY54" s="455">
        <v>0</v>
      </c>
    </row>
    <row r="55" spans="1:51" ht="11.25" customHeight="1">
      <c r="M55" s="1087"/>
      <c r="N55" s="1087"/>
      <c r="O55" s="474"/>
      <c r="P55" s="1082"/>
      <c r="Q55" s="1082"/>
      <c r="R55" s="1082"/>
      <c r="S55" s="1082"/>
      <c r="AT55" s="1082"/>
      <c r="AU55" s="1082"/>
      <c r="AV55" s="1082"/>
      <c r="AW55" s="1082"/>
      <c r="AX55" s="1082"/>
      <c r="AY55" s="1082">
        <v>11</v>
      </c>
    </row>
    <row r="56" spans="1:51" ht="15" customHeight="1">
      <c r="O56" s="474"/>
      <c r="S56" s="1180"/>
      <c r="T56" s="2895"/>
      <c r="U56" s="2895"/>
      <c r="V56" s="2895"/>
      <c r="W56" s="2895"/>
      <c r="X56" s="2895"/>
      <c r="Y56" s="2895"/>
      <c r="Z56" s="2895"/>
      <c r="AA56" s="2895"/>
      <c r="AB56" s="2895"/>
      <c r="AC56" s="2895"/>
      <c r="AD56" s="2895"/>
      <c r="AE56" s="2895"/>
      <c r="AF56" s="2895"/>
      <c r="AG56" s="2895"/>
      <c r="AH56" s="2895"/>
      <c r="AI56" s="2895"/>
      <c r="AJ56" s="2895"/>
      <c r="AK56" s="2895"/>
      <c r="AL56" s="2895"/>
      <c r="AM56" s="2895"/>
      <c r="AN56" s="2895"/>
      <c r="AO56" s="2895"/>
      <c r="AP56" s="2895"/>
      <c r="AQ56" s="2895"/>
      <c r="AR56" s="2895"/>
      <c r="AS56" s="2895"/>
      <c r="AY56" s="1082">
        <v>14</v>
      </c>
    </row>
    <row r="57" spans="1:51" ht="15" customHeight="1">
      <c r="O57" s="474"/>
      <c r="AY57" s="1082">
        <v>14</v>
      </c>
    </row>
    <row r="58" spans="1:51" ht="15" customHeight="1">
      <c r="O58" s="474"/>
      <c r="S58" s="1180"/>
      <c r="T58" s="2895"/>
      <c r="U58" s="2895"/>
      <c r="V58" s="2895"/>
      <c r="W58" s="2895"/>
      <c r="X58" s="2895"/>
      <c r="Y58" s="2895"/>
      <c r="Z58" s="2895"/>
      <c r="AA58" s="2895"/>
      <c r="AB58" s="2895"/>
      <c r="AC58" s="2895"/>
      <c r="AD58" s="2895"/>
      <c r="AE58" s="2895"/>
      <c r="AF58" s="2895"/>
      <c r="AG58" s="2895"/>
      <c r="AH58" s="2895"/>
      <c r="AI58" s="2895"/>
      <c r="AJ58" s="2895"/>
      <c r="AK58" s="2895"/>
      <c r="AL58" s="2895"/>
      <c r="AM58" s="2895"/>
      <c r="AN58" s="2895"/>
      <c r="AO58" s="2895"/>
      <c r="AP58" s="2895"/>
      <c r="AQ58" s="2895"/>
      <c r="AR58" s="2895"/>
      <c r="AS58" s="2895"/>
      <c r="AY58" s="1082">
        <v>14</v>
      </c>
    </row>
    <row r="59" spans="1:51" ht="22.5" hidden="1" customHeight="1">
      <c r="A59" s="1087" t="s">
        <v>87</v>
      </c>
      <c r="B59" s="1087">
        <v>0</v>
      </c>
      <c r="C59" s="1087">
        <v>0</v>
      </c>
      <c r="D59" s="1087">
        <v>0</v>
      </c>
      <c r="E59" s="1087">
        <v>0</v>
      </c>
      <c r="F59" s="1087">
        <v>0</v>
      </c>
      <c r="G59" s="1087">
        <v>0</v>
      </c>
      <c r="H59" s="1087">
        <v>0</v>
      </c>
      <c r="I59" s="1087">
        <v>0</v>
      </c>
      <c r="J59" s="1087">
        <v>0</v>
      </c>
      <c r="K59" s="1087">
        <v>0</v>
      </c>
      <c r="L59" s="1405">
        <v>0</v>
      </c>
      <c r="M59" s="1289">
        <v>0</v>
      </c>
      <c r="N59" s="1289">
        <v>0</v>
      </c>
      <c r="O59" s="1289">
        <v>0</v>
      </c>
      <c r="P59" s="1400">
        <v>3</v>
      </c>
      <c r="Q59" s="282">
        <v>3</v>
      </c>
      <c r="R59" s="282">
        <v>3</v>
      </c>
      <c r="S59" s="518">
        <v>12</v>
      </c>
      <c r="T59" s="1082">
        <v>35</v>
      </c>
      <c r="U59" s="1082">
        <v>0</v>
      </c>
      <c r="V59" s="1082">
        <v>0</v>
      </c>
      <c r="W59" s="1558">
        <v>0</v>
      </c>
      <c r="X59" s="1558">
        <v>0</v>
      </c>
      <c r="Y59" s="1558">
        <v>0</v>
      </c>
      <c r="Z59" s="1558">
        <v>0</v>
      </c>
      <c r="AA59" s="1558">
        <v>0</v>
      </c>
      <c r="AB59" s="1082">
        <v>0</v>
      </c>
      <c r="AC59" s="1082">
        <v>0</v>
      </c>
      <c r="AD59" s="1082">
        <v>0</v>
      </c>
      <c r="AE59" s="1082">
        <v>0</v>
      </c>
      <c r="AF59" s="1082">
        <v>0</v>
      </c>
      <c r="AG59" s="1082">
        <v>19</v>
      </c>
      <c r="AH59" s="1558">
        <v>19</v>
      </c>
      <c r="AI59" s="1558">
        <v>19</v>
      </c>
      <c r="AJ59" s="1558">
        <v>19</v>
      </c>
      <c r="AK59" s="1558">
        <v>19</v>
      </c>
      <c r="AL59" s="1558">
        <v>19</v>
      </c>
      <c r="AM59" s="1082">
        <v>19</v>
      </c>
      <c r="AN59" s="1082">
        <v>11</v>
      </c>
      <c r="AO59" s="1082">
        <v>3</v>
      </c>
      <c r="AP59" s="1082">
        <v>11</v>
      </c>
      <c r="AQ59" s="1082">
        <v>0</v>
      </c>
      <c r="AR59" s="1082">
        <v>4</v>
      </c>
      <c r="AS59" s="1082">
        <v>115</v>
      </c>
      <c r="AT59" s="448">
        <v>10</v>
      </c>
      <c r="AU59" s="448">
        <v>10</v>
      </c>
      <c r="AV59" s="448">
        <v>10</v>
      </c>
      <c r="AW59" s="448">
        <v>10</v>
      </c>
      <c r="AX59" s="448">
        <v>10</v>
      </c>
      <c r="AY59" s="1082">
        <v>23</v>
      </c>
    </row>
  </sheetData>
  <sheetProtection formatColumns="0" formatRows="0" insertRows="0" deleteColumns="0" deleteRows="0" sort="0" autoFilter="0"/>
  <mergeCells count="113">
    <mergeCell ref="E2:E13"/>
    <mergeCell ref="V2:AF2"/>
    <mergeCell ref="AG2:AR2"/>
    <mergeCell ref="F3:F12"/>
    <mergeCell ref="V3:AF3"/>
    <mergeCell ref="AG3:AR3"/>
    <mergeCell ref="G4:G11"/>
    <mergeCell ref="V4:AF4"/>
    <mergeCell ref="AG4:AR4"/>
    <mergeCell ref="H5:H11"/>
    <mergeCell ref="I5:I10"/>
    <mergeCell ref="P5:P10"/>
    <mergeCell ref="V5:AF5"/>
    <mergeCell ref="AG5:AR5"/>
    <mergeCell ref="J6:J9"/>
    <mergeCell ref="Q6:Q9"/>
    <mergeCell ref="V6:AF6"/>
    <mergeCell ref="AG6:AR6"/>
    <mergeCell ref="K7:K8"/>
    <mergeCell ref="AC7:AC8"/>
    <mergeCell ref="AQ7:AQ8"/>
    <mergeCell ref="AS7:AS8"/>
    <mergeCell ref="AN15:AN16"/>
    <mergeCell ref="AO15:AO16"/>
    <mergeCell ref="AP15:AP16"/>
    <mergeCell ref="AQ15:AQ16"/>
    <mergeCell ref="AD7:AD8"/>
    <mergeCell ref="AE7:AE8"/>
    <mergeCell ref="AF7:AF8"/>
    <mergeCell ref="AN7:AN8"/>
    <mergeCell ref="AO7:AO8"/>
    <mergeCell ref="AP7:AP8"/>
    <mergeCell ref="S29:T29"/>
    <mergeCell ref="V29:AE29"/>
    <mergeCell ref="AG29:AP29"/>
    <mergeCell ref="S30:T30"/>
    <mergeCell ref="V30:AE30"/>
    <mergeCell ref="AG30:AP30"/>
    <mergeCell ref="S24:AP24"/>
    <mergeCell ref="S25:AP25"/>
    <mergeCell ref="S27:T27"/>
    <mergeCell ref="V27:AE27"/>
    <mergeCell ref="AG27:AP27"/>
    <mergeCell ref="S28:T28"/>
    <mergeCell ref="V28:AE28"/>
    <mergeCell ref="AG28:AP28"/>
    <mergeCell ref="S37:S40"/>
    <mergeCell ref="T37:T40"/>
    <mergeCell ref="V37:AE37"/>
    <mergeCell ref="AF37:AF40"/>
    <mergeCell ref="AG37:AP37"/>
    <mergeCell ref="AQ37:AQ40"/>
    <mergeCell ref="S32:T32"/>
    <mergeCell ref="V32:AE32"/>
    <mergeCell ref="AG32:AP32"/>
    <mergeCell ref="S33:T33"/>
    <mergeCell ref="V33:AE33"/>
    <mergeCell ref="AG33:AP33"/>
    <mergeCell ref="AD40:AE40"/>
    <mergeCell ref="AO40:AP40"/>
    <mergeCell ref="V35:AF35"/>
    <mergeCell ref="AG35:AQ35"/>
    <mergeCell ref="S36:AR36"/>
    <mergeCell ref="AA39:AB39"/>
    <mergeCell ref="AN38:AP39"/>
    <mergeCell ref="AC38:AE39"/>
    <mergeCell ref="AH38:AJ38"/>
    <mergeCell ref="AK38:AM38"/>
    <mergeCell ref="AH39:AH40"/>
    <mergeCell ref="AI39:AJ39"/>
    <mergeCell ref="K47:K48"/>
    <mergeCell ref="AC47:AC48"/>
    <mergeCell ref="AD47:AD48"/>
    <mergeCell ref="AE47:AE48"/>
    <mergeCell ref="AF47:AF48"/>
    <mergeCell ref="AN47:AN48"/>
    <mergeCell ref="AD41:AE41"/>
    <mergeCell ref="AO41:AP41"/>
    <mergeCell ref="E42:E53"/>
    <mergeCell ref="V42:AF42"/>
    <mergeCell ref="AG42:AR42"/>
    <mergeCell ref="F43:F52"/>
    <mergeCell ref="V43:AF43"/>
    <mergeCell ref="AG43:AR43"/>
    <mergeCell ref="G44:G51"/>
    <mergeCell ref="V44:AF44"/>
    <mergeCell ref="AG44:AR44"/>
    <mergeCell ref="H45:H51"/>
    <mergeCell ref="I45:I50"/>
    <mergeCell ref="P45:P50"/>
    <mergeCell ref="V45:AF45"/>
    <mergeCell ref="AG45:AR45"/>
    <mergeCell ref="J46:J49"/>
    <mergeCell ref="Q46:Q49"/>
    <mergeCell ref="AS47:AS48"/>
    <mergeCell ref="T56:AS56"/>
    <mergeCell ref="T58:AS58"/>
    <mergeCell ref="V46:AF46"/>
    <mergeCell ref="AG46:AR46"/>
    <mergeCell ref="AO47:AO48"/>
    <mergeCell ref="AP47:AP48"/>
    <mergeCell ref="AQ47:AQ48"/>
    <mergeCell ref="AS36:AS40"/>
    <mergeCell ref="AR37:AR40"/>
    <mergeCell ref="AL39:AM39"/>
    <mergeCell ref="V38:V40"/>
    <mergeCell ref="W38:Y38"/>
    <mergeCell ref="Z38:AB38"/>
    <mergeCell ref="W39:W40"/>
    <mergeCell ref="X39:Y39"/>
    <mergeCell ref="Z39:Z40"/>
    <mergeCell ref="AG38:AG40"/>
    <mergeCell ref="AK39:AK40"/>
  </mergeCells>
  <dataValidations count="8">
    <dataValidation type="list" allowBlank="1" showInputMessage="1" errorTitle="Ошибка" error="Выберите значение из списка" prompt="Выберите значение из списка" sqref="V983082:AR983082 V65578:AR65578 V131114:AR131114 V196650:AR196650 V262186:AR262186 V327722:AR327722 V393258:AR393258 V458794:AR458794 V524330:AR524330 V589866:AR589866 V655402:AR655402 V720938:AR720938 V786474:AR786474 V852010:AR852010 V917546:AR917546">
      <formula1>kind_of_cons</formula1>
    </dataValidation>
    <dataValidation allowBlank="1" sqref="S131117:AS131123 S196653:AS196659 S262189:AS262195 S327725:AS327731 S393261:AS393267 S458797:AS458803 S524333:AS524339 S589869:AS589875 S655405:AS655411 S720941:AS720947 S786477:AS786483 S852013:AS852019 S917549:AS917555 S983085:AS983091 S65581:AS65587"/>
    <dataValidation allowBlank="1" showInputMessage="1" showErrorMessage="1" prompt="Для выбора выполните двойной щелчок левой клавиши мыши по соответствующей ячейке." sqref="AD65579 AD131115 AD196651 AD262187 AD327723 AD393259 AD458795 AD524331 AD589867 AD655403 AD720939 AD786475 AD852011 AD917547 AD983083 AF131115 AF458795 AF196651 AF262187 AF327723 AF393259 AF524331 AF589867 AF655403 AF720939 AF786475 AF852011 AF917547 AF983083 AF65579 AO65579 AO131115 AO196651 AO262187 AO327723 AO393259 AO458795 AO524331 AO589867 AO655403 AO720939 AO786475 AO852011 AO917547 AO983083 AQ524331 AQ196651 AQ589867 AQ655403 AQ15 AQ720939 AQ786475 AQ852011 AQ917547 AQ983083 AQ65579 AQ131115 AQ458795 AQ262187 AQ7 AO47 AQ327723 AO15 AO7 AD7 AF7 AQ393259 AQ47 AD47 AF47"/>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C65579 AC131115 AC196651 AC262187 AC327723 AC393259 AC458795 AC524331 AC589867 AC655403 AC720939 AC786475 AC852011 AC917547 AC983083 AE65579 AE131115 AE196651 AE262187 AE327723 AE393259 AE458795 AE524331 AE589867 AE655403 AE720939 AE786475 AE852011 AE917547 AE983083 AN15 AN65579 AN131115 AN196651 AN262187 AN327723 AN393259 AN458795 AN524331 AN589867 AN655403 AN720939 AN786475 AN852011 AN917547 AN983083 AP65579 AP131115 AP196651 AP262187 AP327723 AP393259 AP458795 AP524331 AP589867 AP655403 AP720939 AP786475 AP852011 AP917547 AP983083 AP47 AN47 AP15 AP7 AN7 AC7 AE7 AC47 AE47"/>
    <dataValidation type="list" allowBlank="1" showInputMessage="1" showErrorMessage="1" errorTitle="Ошибка" error="Выберите значение из списка" sqref="T65579 T131115 T196651 T262187 T327723 T393259 T458795 T524331 T589867 T655403 T720939 T786475 T852011 T917547 T983083">
      <formula1>kind_of_heat_transfer</formula1>
    </dataValidation>
    <dataValidation type="textLength" operator="lessThanOrEqual" allowBlank="1" showInputMessage="1" showErrorMessage="1" errorTitle="Ошибка" error="Допускается ввод не более 900 символов!" sqref="AS65573:AS65580 AS131109:AS131116 AS196645:AS196652 AS262181:AS262188 AS327717:AS327724 AS393253:AS393260 AS458789:AS458796 AS524325:AS524332 AS589861:AS589868 AS655397:AS655404 AS720933:AS720940 AS786469:AS786476 AS852005:AS852012 AS917541:AS917548 AS983077:AS983084 T47 T7 AG45:AR45 AG5:AR5">
      <formula1>900</formula1>
    </dataValidation>
    <dataValidation type="list" allowBlank="1" showInputMessage="1" showErrorMessage="1" errorTitle="Ошибка" error="Выберите значение из списка" sqref="V983081:AA983081 V65577:AA65577 V131113:AA131113 V196649:AA196649 V262185:AA262185 V327721:AA327721 V393257:AA393257 V458793:AA458793 V524329:AA524329 V589865:AA589865 V655401:AA655401 V720937:AA720937 V786473:AA786473 V852009:AA852009 V917545:AA917545 AG983081:AL983081 AG65577:AL65577 AG131113:AL131113 AG196649:AL196649 AG262185:AL262185 AG327721:AL327721 AG393257:AL393257 AG458793:AL458793 AG524329:AL524329 AG589865:AL589865 AG655401:AL655401 AG720937:AL720937 AG786473:AL786473 AG852009:AL852009 AG917545:AL917545">
      <formula1>kind_of_scheme_in</formula1>
    </dataValidation>
    <dataValidation allowBlank="1" promptTitle="checkPeriodRange" sqref="AB65580 AB131116 AB196652 AB262188 AB327724 AB393260 AB458796 AB524332 AB589868 AB655404 AB720940 AB786476 AB852012 AB917548 AB983084 AM16 AM65580 AM131116 AM196652 AM262188 AM327724 AM393260 AM458796 AM524332 AM589868 AM655404 AM720940 AM786476 AM852012 AM917548 AM983084 AM48 AM8 AB8 AB48"/>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BI69"/>
  <sheetViews>
    <sheetView showGridLines="0" zoomScale="90" workbookViewId="0">
      <pane xSplit="29" ySplit="45" topLeftCell="AD46" activePane="bottomRight" state="frozen"/>
      <selection pane="topRight" activeCell="AD1" sqref="AD1"/>
      <selection pane="bottomLeft" activeCell="A46" sqref="A46"/>
      <selection pane="bottomRight"/>
    </sheetView>
  </sheetViews>
  <sheetFormatPr defaultColWidth="10.5703125" defaultRowHeight="14.25" customHeight="1"/>
  <cols>
    <col min="1" max="1" width="11.5703125" style="1293" hidden="1" customWidth="1"/>
    <col min="2" max="2" width="11" style="1293" hidden="1" customWidth="1"/>
    <col min="3" max="3" width="10.5703125" style="1293" hidden="1"/>
    <col min="4" max="4" width="12.85546875" style="1293" hidden="1" customWidth="1"/>
    <col min="5" max="5" width="10" style="1293" hidden="1" customWidth="1"/>
    <col min="6" max="6" width="8.7109375" style="1293" hidden="1" customWidth="1"/>
    <col min="7" max="7" width="7.5703125" style="1293" hidden="1" customWidth="1"/>
    <col min="8" max="8" width="11.42578125" style="1293" hidden="1" customWidth="1"/>
    <col min="9" max="9" width="12" style="1293" hidden="1" customWidth="1"/>
    <col min="10" max="10" width="9.85546875" style="1293" hidden="1" customWidth="1"/>
    <col min="11" max="11" width="11.42578125" style="1293" hidden="1" customWidth="1"/>
    <col min="12" max="12" width="19.140625" style="2014" hidden="1" customWidth="1"/>
    <col min="13" max="14" width="12.28515625" style="1702" hidden="1" customWidth="1"/>
    <col min="15" max="15" width="23.42578125" style="1702" hidden="1" customWidth="1"/>
    <col min="16" max="16" width="3.7109375" style="1702" hidden="1" customWidth="1"/>
    <col min="17" max="17" width="3.7109375" style="1298" hidden="1" customWidth="1"/>
    <col min="18" max="18" width="3" style="282" customWidth="1"/>
    <col min="19" max="19" width="12" style="2008" customWidth="1"/>
    <col min="20" max="20" width="31" style="1562" customWidth="1"/>
    <col min="21" max="21" width="0.140625" style="1562" customWidth="1"/>
    <col min="22" max="25" width="21.7109375" style="1562" hidden="1" customWidth="1"/>
    <col min="26" max="26" width="11.7109375" style="1562" hidden="1" customWidth="1"/>
    <col min="27" max="27" width="3.7109375" style="1562" hidden="1" customWidth="1"/>
    <col min="28" max="28" width="11.7109375" style="1562" hidden="1" customWidth="1"/>
    <col min="29" max="29" width="8.5703125" style="1562" hidden="1" customWidth="1"/>
    <col min="30" max="30" width="3.7109375" style="1562" customWidth="1"/>
    <col min="31" max="32" width="3" style="1562" customWidth="1"/>
    <col min="33" max="33" width="24" style="1562" customWidth="1"/>
    <col min="34" max="34" width="3.7109375" style="1562" customWidth="1"/>
    <col min="35" max="36" width="3" style="1562" customWidth="1"/>
    <col min="37" max="37" width="24" style="1562" customWidth="1"/>
    <col min="38" max="38" width="3.7109375" style="1562" customWidth="1"/>
    <col min="39" max="40" width="3" style="1562" customWidth="1"/>
    <col min="41" max="41" width="18" style="1562" customWidth="1"/>
    <col min="42" max="42" width="3.7109375" style="1562" customWidth="1"/>
    <col min="43" max="44" width="3" style="1562" customWidth="1"/>
    <col min="45" max="45" width="18" style="1562" customWidth="1"/>
    <col min="46" max="49" width="21" style="1562" customWidth="1"/>
    <col min="50" max="50" width="11" style="1562" customWidth="1"/>
    <col min="51" max="51" width="3.7109375" style="1562" customWidth="1"/>
    <col min="52" max="52" width="11" style="1562" customWidth="1"/>
    <col min="53" max="53" width="8.5703125" style="1562" hidden="1" customWidth="1"/>
    <col min="54" max="54" width="4" style="1562" customWidth="1"/>
    <col min="55" max="55" width="115" style="1562" customWidth="1"/>
    <col min="56" max="60" width="10" style="1569" customWidth="1"/>
    <col min="61" max="61" width="10.5703125" style="1562" hidden="1"/>
  </cols>
  <sheetData>
    <row r="1" spans="1:61" ht="22.5" hidden="1" customHeight="1">
      <c r="W1" s="265"/>
      <c r="Y1" s="265"/>
      <c r="Z1" s="265"/>
      <c r="AW1" s="265"/>
      <c r="AX1" s="265"/>
      <c r="BI1" s="1082" t="s">
        <v>14</v>
      </c>
    </row>
    <row r="2" spans="1:61" ht="21" hidden="1" customHeight="1">
      <c r="A2" s="1290"/>
      <c r="B2" s="1290"/>
      <c r="C2" s="1290"/>
      <c r="D2" s="1290"/>
      <c r="E2" s="2896">
        <v>1</v>
      </c>
      <c r="F2" s="1290"/>
      <c r="G2" s="1290"/>
      <c r="H2" s="1290"/>
      <c r="I2" s="1290"/>
      <c r="J2" s="1290"/>
      <c r="K2" s="1290"/>
      <c r="L2" s="1291"/>
      <c r="M2" s="1292"/>
      <c r="N2" s="1292"/>
      <c r="O2" s="1292"/>
      <c r="P2" s="1336"/>
      <c r="Q2" s="804"/>
      <c r="R2" s="292"/>
      <c r="S2" s="1420" t="e">
        <f>INDEX(PT_DIFFERENTIATION_NUM_NTAR,MATCH(A2,PT_DIFFERENTIATION_NTAR_ID,0))</f>
        <v>#N/A</v>
      </c>
      <c r="T2" s="236" t="s">
        <v>128</v>
      </c>
      <c r="U2" s="238"/>
      <c r="V2" s="2891"/>
      <c r="W2" s="2891"/>
      <c r="X2" s="2891"/>
      <c r="Y2" s="2891"/>
      <c r="Z2" s="2891"/>
      <c r="AA2" s="2891"/>
      <c r="AB2" s="2891"/>
      <c r="AC2" s="2892"/>
      <c r="AD2" s="2890" t="e">
        <f>INDEX(PT_DIFFERENTIATION_NTAR,MATCH(A2,PT_DIFFERENTIATION_NTAR_ID,0))</f>
        <v>#N/A</v>
      </c>
      <c r="AE2" s="2891"/>
      <c r="AF2" s="2891"/>
      <c r="AG2" s="2891"/>
      <c r="AH2" s="2891"/>
      <c r="AI2" s="2891"/>
      <c r="AJ2" s="2891"/>
      <c r="AK2" s="2891"/>
      <c r="AL2" s="2891"/>
      <c r="AM2" s="2891"/>
      <c r="AN2" s="2891"/>
      <c r="AO2" s="2891"/>
      <c r="AP2" s="2891"/>
      <c r="AQ2" s="2891"/>
      <c r="AR2" s="2891"/>
      <c r="AS2" s="2891"/>
      <c r="AT2" s="2891"/>
      <c r="AU2" s="2891"/>
      <c r="AV2" s="2891"/>
      <c r="AW2" s="2891"/>
      <c r="AX2" s="2891"/>
      <c r="AY2" s="2891"/>
      <c r="AZ2" s="2891"/>
      <c r="BA2" s="2891"/>
      <c r="BB2" s="2892"/>
      <c r="BC2"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2" s="437"/>
      <c r="BF2" s="437" t="str">
        <f t="shared" ref="BF2:BF8" si="0">IF(T2="","",T2)</f>
        <v>Наименование тарифа</v>
      </c>
      <c r="BG2" s="437"/>
      <c r="BH2" s="437"/>
      <c r="BI2" s="1082">
        <v>0</v>
      </c>
    </row>
    <row r="3" spans="1:61" ht="21" hidden="1" customHeight="1">
      <c r="A3" s="1290"/>
      <c r="B3" s="1290"/>
      <c r="C3" s="1290"/>
      <c r="D3" s="1290"/>
      <c r="E3" s="2897"/>
      <c r="F3" s="2896">
        <v>1</v>
      </c>
      <c r="G3" s="1290"/>
      <c r="H3" s="1290"/>
      <c r="I3" s="1290"/>
      <c r="J3" s="1290"/>
      <c r="K3" s="1290"/>
      <c r="L3" s="1291"/>
      <c r="M3" s="1292"/>
      <c r="N3" s="1292"/>
      <c r="O3" s="1292"/>
      <c r="P3" s="1337"/>
      <c r="Q3" s="1338"/>
      <c r="R3" s="290"/>
      <c r="S3" s="1420" t="e">
        <f>INDEX(PT_DIFFERENTIATION_NUM_TER,MATCH(B3,PT_DIFFERENTIATION_TER_ID,0))</f>
        <v>#N/A</v>
      </c>
      <c r="T3" s="246" t="s">
        <v>442</v>
      </c>
      <c r="U3" s="238"/>
      <c r="V3" s="2891"/>
      <c r="W3" s="2891"/>
      <c r="X3" s="2891"/>
      <c r="Y3" s="2891"/>
      <c r="Z3" s="2891"/>
      <c r="AA3" s="2891"/>
      <c r="AB3" s="2891"/>
      <c r="AC3" s="2892"/>
      <c r="AD3" s="2890" t="e">
        <f>INDEX(PT_DIFFERENTIATION_TER,MATCH(B3,PT_DIFFERENTIATION_TER_ID,0))</f>
        <v>#N/A</v>
      </c>
      <c r="AE3" s="2891"/>
      <c r="AF3" s="2891"/>
      <c r="AG3" s="2891"/>
      <c r="AH3" s="2891"/>
      <c r="AI3" s="2891"/>
      <c r="AJ3" s="2891"/>
      <c r="AK3" s="2891"/>
      <c r="AL3" s="2891"/>
      <c r="AM3" s="2891"/>
      <c r="AN3" s="2891"/>
      <c r="AO3" s="2891"/>
      <c r="AP3" s="2891"/>
      <c r="AQ3" s="2891"/>
      <c r="AR3" s="2891"/>
      <c r="AS3" s="2891"/>
      <c r="AT3" s="2891"/>
      <c r="AU3" s="2891"/>
      <c r="AV3" s="2891"/>
      <c r="AW3" s="2891"/>
      <c r="AX3" s="2891"/>
      <c r="AY3" s="2891"/>
      <c r="AZ3" s="2891"/>
      <c r="BA3" s="2891"/>
      <c r="BB3" s="2892"/>
      <c r="BC3" s="1185" t="s">
        <v>443</v>
      </c>
      <c r="BE3" s="437"/>
      <c r="BF3" s="437" t="str">
        <f t="shared" si="0"/>
        <v>Территория действия тарифа</v>
      </c>
      <c r="BG3" s="437"/>
      <c r="BH3" s="437"/>
      <c r="BI3" s="1082">
        <v>0</v>
      </c>
    </row>
    <row r="4" spans="1:61" ht="33.75" hidden="1" customHeight="1">
      <c r="A4" s="1290"/>
      <c r="B4" s="1290"/>
      <c r="C4" s="1290"/>
      <c r="D4" s="1290"/>
      <c r="E4" s="2897"/>
      <c r="F4" s="2897"/>
      <c r="G4" s="2896">
        <v>1</v>
      </c>
      <c r="H4" s="1290"/>
      <c r="I4" s="1290"/>
      <c r="J4" s="1290"/>
      <c r="K4" s="1290"/>
      <c r="L4" s="1291"/>
      <c r="M4" s="1292"/>
      <c r="N4" s="1292"/>
      <c r="O4" s="1292"/>
      <c r="P4" s="1339"/>
      <c r="Q4" s="1338"/>
      <c r="R4" s="290"/>
      <c r="S4" s="1420" t="e">
        <f>INDEX(PT_DIFFERENTIATION_NUM_CS,MATCH(C4,PT_DIFFERENTIATION_CS_ID,0))</f>
        <v>#N/A</v>
      </c>
      <c r="T4" s="247" t="s">
        <v>576</v>
      </c>
      <c r="U4" s="238"/>
      <c r="V4" s="2891"/>
      <c r="W4" s="2891"/>
      <c r="X4" s="2891"/>
      <c r="Y4" s="2891"/>
      <c r="Z4" s="2891"/>
      <c r="AA4" s="2891"/>
      <c r="AB4" s="2891"/>
      <c r="AC4" s="2892"/>
      <c r="AD4" s="2890" t="e">
        <f>INDEX(PT_DIFFERENTIATION_CS,MATCH(C4,PT_DIFFERENTIATION_CS_ID,0))</f>
        <v>#N/A</v>
      </c>
      <c r="AE4" s="2891"/>
      <c r="AF4" s="2891"/>
      <c r="AG4" s="2891"/>
      <c r="AH4" s="2891"/>
      <c r="AI4" s="2891"/>
      <c r="AJ4" s="2891"/>
      <c r="AK4" s="2891"/>
      <c r="AL4" s="2891"/>
      <c r="AM4" s="2891"/>
      <c r="AN4" s="2891"/>
      <c r="AO4" s="2891"/>
      <c r="AP4" s="2891"/>
      <c r="AQ4" s="2891"/>
      <c r="AR4" s="2891"/>
      <c r="AS4" s="2891"/>
      <c r="AT4" s="2891"/>
      <c r="AU4" s="2891"/>
      <c r="AV4" s="2891"/>
      <c r="AW4" s="2891"/>
      <c r="AX4" s="2891"/>
      <c r="AY4" s="2891"/>
      <c r="AZ4" s="2891"/>
      <c r="BA4" s="2891"/>
      <c r="BB4" s="2892"/>
      <c r="BC4" s="1185" t="s">
        <v>577</v>
      </c>
      <c r="BE4" s="437"/>
      <c r="BF4" s="437" t="str">
        <f t="shared" si="0"/>
        <v>Наименование централизованной системы горячего водоснабжения</v>
      </c>
      <c r="BG4" s="437"/>
      <c r="BH4" s="437"/>
      <c r="BI4" s="1082">
        <v>0</v>
      </c>
    </row>
    <row r="5" spans="1:61" s="1569" customFormat="1" ht="14.25" hidden="1" customHeight="1">
      <c r="A5" s="1270"/>
      <c r="B5" s="1270"/>
      <c r="C5" s="1270"/>
      <c r="D5" s="1270"/>
      <c r="E5" s="2897"/>
      <c r="F5" s="2897"/>
      <c r="G5" s="2897"/>
      <c r="H5" s="2896">
        <v>1</v>
      </c>
      <c r="I5" s="1270"/>
      <c r="J5" s="1270"/>
      <c r="K5" s="1270"/>
      <c r="L5" s="1273"/>
      <c r="M5" s="1242"/>
      <c r="N5" s="1242"/>
      <c r="O5" s="1242"/>
      <c r="P5" s="1424"/>
      <c r="Q5" s="1425"/>
      <c r="R5" s="294"/>
      <c r="S5" s="972"/>
      <c r="T5" s="1426"/>
      <c r="U5" s="1311"/>
      <c r="V5" s="2929"/>
      <c r="W5" s="2929"/>
      <c r="X5" s="2929"/>
      <c r="Y5" s="2929"/>
      <c r="Z5" s="2929"/>
      <c r="AA5" s="2929"/>
      <c r="AB5" s="2929"/>
      <c r="AC5" s="2930"/>
      <c r="AD5" s="2928"/>
      <c r="AE5" s="2929"/>
      <c r="AF5" s="2929"/>
      <c r="AG5" s="2929"/>
      <c r="AH5" s="2929"/>
      <c r="AI5" s="2929"/>
      <c r="AJ5" s="2929"/>
      <c r="AK5" s="2929"/>
      <c r="AL5" s="2929"/>
      <c r="AM5" s="2929"/>
      <c r="AN5" s="2929"/>
      <c r="AO5" s="2929"/>
      <c r="AP5" s="2929"/>
      <c r="AQ5" s="2929"/>
      <c r="AR5" s="2929"/>
      <c r="AS5" s="2929"/>
      <c r="AT5" s="2929"/>
      <c r="AU5" s="2929"/>
      <c r="AV5" s="2929"/>
      <c r="AW5" s="2929"/>
      <c r="AX5" s="2929"/>
      <c r="AY5" s="2929"/>
      <c r="AZ5" s="2929"/>
      <c r="BA5" s="2929"/>
      <c r="BB5" s="2930"/>
      <c r="BC5" s="1312" t="s">
        <v>447</v>
      </c>
      <c r="BE5" s="437"/>
      <c r="BF5" s="437" t="str">
        <f t="shared" si="0"/>
        <v/>
      </c>
      <c r="BG5" s="437"/>
      <c r="BH5" s="437"/>
      <c r="BI5" s="448">
        <v>0</v>
      </c>
    </row>
    <row r="6" spans="1:61" s="1569" customFormat="1" ht="14.25" hidden="1" customHeight="1">
      <c r="A6" s="1270"/>
      <c r="B6" s="1270"/>
      <c r="C6" s="1270"/>
      <c r="D6" s="1270"/>
      <c r="E6" s="2897"/>
      <c r="F6" s="2897"/>
      <c r="G6" s="2897"/>
      <c r="H6" s="2897"/>
      <c r="I6" s="2898" t="str">
        <f>S5&amp;".1"</f>
        <v>.1</v>
      </c>
      <c r="J6" s="1270"/>
      <c r="K6" s="1270"/>
      <c r="L6" s="1273" t="s">
        <v>448</v>
      </c>
      <c r="M6" s="447"/>
      <c r="N6" s="447"/>
      <c r="O6" s="447"/>
      <c r="P6" s="2900">
        <v>1</v>
      </c>
      <c r="Q6" s="1408"/>
      <c r="R6" s="293"/>
      <c r="S6" s="972"/>
      <c r="T6" s="1310"/>
      <c r="U6" s="1311"/>
      <c r="V6" s="2929"/>
      <c r="W6" s="2929"/>
      <c r="X6" s="2929"/>
      <c r="Y6" s="2929"/>
      <c r="Z6" s="2929"/>
      <c r="AA6" s="2929"/>
      <c r="AB6" s="2929"/>
      <c r="AC6" s="2930"/>
      <c r="AD6" s="2928"/>
      <c r="AE6" s="2929"/>
      <c r="AF6" s="2929"/>
      <c r="AG6" s="2929"/>
      <c r="AH6" s="2929"/>
      <c r="AI6" s="2929"/>
      <c r="AJ6" s="2929"/>
      <c r="AK6" s="2929"/>
      <c r="AL6" s="2929"/>
      <c r="AM6" s="2929"/>
      <c r="AN6" s="2929"/>
      <c r="AO6" s="2929"/>
      <c r="AP6" s="2929"/>
      <c r="AQ6" s="2929"/>
      <c r="AR6" s="2929"/>
      <c r="AS6" s="2929"/>
      <c r="AT6" s="2929"/>
      <c r="AU6" s="2929"/>
      <c r="AV6" s="2929"/>
      <c r="AW6" s="2929"/>
      <c r="AX6" s="2929"/>
      <c r="AY6" s="2929"/>
      <c r="AZ6" s="2929"/>
      <c r="BA6" s="2929"/>
      <c r="BB6" s="2930"/>
      <c r="BC6" s="1312"/>
      <c r="BE6" s="437"/>
      <c r="BF6" s="437" t="str">
        <f t="shared" si="0"/>
        <v/>
      </c>
      <c r="BG6" s="437"/>
      <c r="BH6" s="437"/>
      <c r="BI6" s="448">
        <v>0</v>
      </c>
    </row>
    <row r="7" spans="1:61" s="1569" customFormat="1" ht="14.25" hidden="1" customHeight="1">
      <c r="A7" s="1270"/>
      <c r="B7" s="1270"/>
      <c r="C7" s="1270"/>
      <c r="D7" s="1270"/>
      <c r="E7" s="2897"/>
      <c r="F7" s="2897"/>
      <c r="G7" s="2897"/>
      <c r="H7" s="2897"/>
      <c r="I7" s="2899"/>
      <c r="J7" s="2898" t="str">
        <f>S5&amp;".1"</f>
        <v>.1</v>
      </c>
      <c r="K7" s="1270"/>
      <c r="L7" s="1273"/>
      <c r="M7" s="447"/>
      <c r="N7" s="447"/>
      <c r="O7" s="447"/>
      <c r="P7" s="2900"/>
      <c r="Q7" s="2900">
        <v>1</v>
      </c>
      <c r="R7" s="294"/>
      <c r="S7" s="972"/>
      <c r="T7" s="1326"/>
      <c r="U7" s="1311"/>
      <c r="V7" s="2929"/>
      <c r="W7" s="2929"/>
      <c r="X7" s="2929"/>
      <c r="Y7" s="2929"/>
      <c r="Z7" s="2929"/>
      <c r="AA7" s="2929"/>
      <c r="AB7" s="2929"/>
      <c r="AC7" s="2930"/>
      <c r="AD7" s="2928"/>
      <c r="AE7" s="2929"/>
      <c r="AF7" s="2929"/>
      <c r="AG7" s="2929"/>
      <c r="AH7" s="2929"/>
      <c r="AI7" s="2929"/>
      <c r="AJ7" s="2929"/>
      <c r="AK7" s="2929"/>
      <c r="AL7" s="2929"/>
      <c r="AM7" s="2929"/>
      <c r="AN7" s="2929"/>
      <c r="AO7" s="2929"/>
      <c r="AP7" s="2929"/>
      <c r="AQ7" s="2929"/>
      <c r="AR7" s="2929"/>
      <c r="AS7" s="2929"/>
      <c r="AT7" s="2929"/>
      <c r="AU7" s="2929"/>
      <c r="AV7" s="2929"/>
      <c r="AW7" s="2929"/>
      <c r="AX7" s="2929"/>
      <c r="AY7" s="2929"/>
      <c r="AZ7" s="2929"/>
      <c r="BA7" s="2929"/>
      <c r="BB7" s="2930"/>
      <c r="BC7" s="1312"/>
      <c r="BE7" s="437"/>
      <c r="BF7" s="437" t="str">
        <f t="shared" si="0"/>
        <v/>
      </c>
      <c r="BG7" s="437"/>
      <c r="BH7" s="437"/>
      <c r="BI7" s="448">
        <v>0</v>
      </c>
    </row>
    <row r="8" spans="1:61" ht="11.25" hidden="1" customHeight="1">
      <c r="A8" s="1290"/>
      <c r="B8" s="1290"/>
      <c r="C8" s="1290"/>
      <c r="D8" s="1290"/>
      <c r="E8" s="2897"/>
      <c r="F8" s="2897"/>
      <c r="G8" s="2897"/>
      <c r="H8" s="2897"/>
      <c r="I8" s="2899"/>
      <c r="J8" s="2899"/>
      <c r="K8" s="2898" t="e">
        <f>S4&amp;".1"</f>
        <v>#N/A</v>
      </c>
      <c r="L8" s="1291"/>
      <c r="P8" s="2900"/>
      <c r="Q8" s="2900"/>
      <c r="R8" s="2957">
        <v>1</v>
      </c>
      <c r="S8" s="2954" t="e">
        <f>$K8</f>
        <v>#N/A</v>
      </c>
      <c r="T8" s="2974"/>
      <c r="U8" s="238"/>
      <c r="V8" s="688"/>
      <c r="W8" s="1184"/>
      <c r="X8" s="688"/>
      <c r="Y8" s="1184"/>
      <c r="Z8" s="1660"/>
      <c r="AA8" s="1396" t="s">
        <v>71</v>
      </c>
      <c r="AB8" s="1660"/>
      <c r="AC8" s="1396" t="s">
        <v>71</v>
      </c>
      <c r="AD8" s="2821" t="s">
        <v>71</v>
      </c>
      <c r="AE8" s="2950"/>
      <c r="AF8" s="2853">
        <v>1</v>
      </c>
      <c r="AG8" s="2973"/>
      <c r="AH8" s="2768" t="s">
        <v>71</v>
      </c>
      <c r="AI8" s="2950"/>
      <c r="AJ8" s="2853">
        <v>1</v>
      </c>
      <c r="AK8" s="2964" t="s">
        <v>30</v>
      </c>
      <c r="AL8" s="2768" t="s">
        <v>71</v>
      </c>
      <c r="AM8" s="2830"/>
      <c r="AN8" s="2853">
        <v>1</v>
      </c>
      <c r="AO8" s="2977"/>
      <c r="AP8" s="2978" t="s">
        <v>71</v>
      </c>
      <c r="AQ8" s="249"/>
      <c r="AR8" s="1413">
        <v>1</v>
      </c>
      <c r="AS8" s="1419" t="s">
        <v>30</v>
      </c>
      <c r="AT8" s="688"/>
      <c r="AU8" s="1184"/>
      <c r="AV8" s="688"/>
      <c r="AW8" s="1184"/>
      <c r="AX8" s="1660"/>
      <c r="AY8" s="1396" t="s">
        <v>71</v>
      </c>
      <c r="AZ8" s="1660"/>
      <c r="BA8" s="1396" t="s">
        <v>71</v>
      </c>
      <c r="BB8" s="1275"/>
      <c r="BC8" s="2919" t="s">
        <v>547</v>
      </c>
      <c r="BE8" s="437"/>
      <c r="BF8" s="437" t="str">
        <f t="shared" si="0"/>
        <v/>
      </c>
      <c r="BG8" s="437"/>
      <c r="BH8" s="437"/>
      <c r="BI8" s="1082">
        <v>0</v>
      </c>
    </row>
    <row r="9" spans="1:61" ht="11.25" hidden="1" customHeight="1">
      <c r="A9" s="1290"/>
      <c r="B9" s="1290"/>
      <c r="C9" s="1290"/>
      <c r="D9" s="1290"/>
      <c r="E9" s="2897"/>
      <c r="F9" s="2897"/>
      <c r="G9" s="2897"/>
      <c r="H9" s="2897"/>
      <c r="I9" s="2899"/>
      <c r="J9" s="2899"/>
      <c r="K9" s="2898"/>
      <c r="L9" s="1291"/>
      <c r="P9" s="2900"/>
      <c r="Q9" s="2900"/>
      <c r="R9" s="2957"/>
      <c r="S9" s="2955"/>
      <c r="T9" s="2975"/>
      <c r="U9" s="238"/>
      <c r="V9" s="1320"/>
      <c r="W9" s="1423"/>
      <c r="X9" s="1320"/>
      <c r="Y9" s="1423"/>
      <c r="Z9" s="1320"/>
      <c r="AA9" s="1320"/>
      <c r="AB9" s="1320"/>
      <c r="AC9" s="1320"/>
      <c r="AD9" s="2822"/>
      <c r="AE9" s="2950"/>
      <c r="AF9" s="2853"/>
      <c r="AG9" s="2973"/>
      <c r="AH9" s="2768"/>
      <c r="AI9" s="2950"/>
      <c r="AJ9" s="2853"/>
      <c r="AK9" s="2964"/>
      <c r="AL9" s="2768"/>
      <c r="AM9" s="2835"/>
      <c r="AN9" s="2853"/>
      <c r="AO9" s="2977"/>
      <c r="AP9" s="2979"/>
      <c r="AQ9" s="254"/>
      <c r="AR9" s="353"/>
      <c r="AS9" s="353" t="s">
        <v>548</v>
      </c>
      <c r="AT9" s="1320"/>
      <c r="AU9" s="1423"/>
      <c r="AV9" s="1320"/>
      <c r="AW9" s="1423"/>
      <c r="AX9" s="1320"/>
      <c r="AY9" s="1320"/>
      <c r="AZ9" s="1320"/>
      <c r="BA9" s="1320"/>
      <c r="BB9" s="1324"/>
      <c r="BC9" s="2920"/>
      <c r="BE9" s="437"/>
      <c r="BF9" s="437"/>
      <c r="BG9" s="437"/>
      <c r="BH9" s="437"/>
      <c r="BI9" s="1082">
        <v>0</v>
      </c>
    </row>
    <row r="10" spans="1:61" ht="11.25" hidden="1" customHeight="1">
      <c r="A10" s="1290"/>
      <c r="B10" s="1290"/>
      <c r="C10" s="1290"/>
      <c r="D10" s="1290"/>
      <c r="E10" s="2897"/>
      <c r="F10" s="2897"/>
      <c r="G10" s="2897"/>
      <c r="H10" s="2897"/>
      <c r="I10" s="2899"/>
      <c r="J10" s="2899"/>
      <c r="K10" s="2898"/>
      <c r="L10" s="1291"/>
      <c r="P10" s="2900"/>
      <c r="Q10" s="2900"/>
      <c r="R10" s="2957"/>
      <c r="S10" s="2955"/>
      <c r="T10" s="2975"/>
      <c r="U10" s="238"/>
      <c r="V10" s="1320"/>
      <c r="W10" s="1423"/>
      <c r="X10" s="1320"/>
      <c r="Y10" s="1423"/>
      <c r="Z10" s="1320"/>
      <c r="AA10" s="1320"/>
      <c r="AB10" s="1320"/>
      <c r="AC10" s="1320"/>
      <c r="AD10" s="2822"/>
      <c r="AE10" s="2950"/>
      <c r="AF10" s="2853"/>
      <c r="AG10" s="2973"/>
      <c r="AH10" s="2768"/>
      <c r="AI10" s="2950"/>
      <c r="AJ10" s="2853"/>
      <c r="AK10" s="2964"/>
      <c r="AL10" s="2768"/>
      <c r="AM10" s="254"/>
      <c r="AN10" s="1427"/>
      <c r="AO10" s="1427" t="s">
        <v>549</v>
      </c>
      <c r="AP10" s="353"/>
      <c r="AQ10" s="353"/>
      <c r="AR10" s="353"/>
      <c r="AS10" s="1320"/>
      <c r="AT10" s="1320"/>
      <c r="AU10" s="1423"/>
      <c r="AV10" s="1320"/>
      <c r="AW10" s="1423"/>
      <c r="AX10" s="1320"/>
      <c r="AY10" s="1320"/>
      <c r="AZ10" s="1320"/>
      <c r="BA10" s="1320"/>
      <c r="BB10" s="1324"/>
      <c r="BC10" s="2920"/>
      <c r="BE10" s="437"/>
      <c r="BF10" s="437"/>
      <c r="BG10" s="437"/>
      <c r="BH10" s="437"/>
      <c r="BI10" s="1082">
        <v>0</v>
      </c>
    </row>
    <row r="11" spans="1:61" ht="11.25" hidden="1" customHeight="1">
      <c r="A11" s="1290"/>
      <c r="B11" s="1290"/>
      <c r="C11" s="1290"/>
      <c r="D11" s="1290"/>
      <c r="E11" s="2897"/>
      <c r="F11" s="2897"/>
      <c r="G11" s="2897"/>
      <c r="H11" s="2897"/>
      <c r="I11" s="2899"/>
      <c r="J11" s="2899"/>
      <c r="K11" s="2898"/>
      <c r="L11" s="1291"/>
      <c r="P11" s="2900"/>
      <c r="Q11" s="2900"/>
      <c r="R11" s="2957"/>
      <c r="S11" s="2955"/>
      <c r="T11" s="2975"/>
      <c r="U11" s="238"/>
      <c r="V11" s="1320"/>
      <c r="W11" s="1423"/>
      <c r="X11" s="1320"/>
      <c r="Y11" s="1423"/>
      <c r="Z11" s="1320"/>
      <c r="AA11" s="1320"/>
      <c r="AB11" s="1320"/>
      <c r="AC11" s="1320"/>
      <c r="AD11" s="2822"/>
      <c r="AE11" s="2950"/>
      <c r="AF11" s="2853"/>
      <c r="AG11" s="2973"/>
      <c r="AH11" s="2768"/>
      <c r="AI11" s="232"/>
      <c r="AJ11" s="352"/>
      <c r="AK11" s="251" t="s">
        <v>550</v>
      </c>
      <c r="AL11" s="1320"/>
      <c r="AM11" s="1320"/>
      <c r="AN11" s="1320"/>
      <c r="AO11" s="1320"/>
      <c r="AP11" s="1320"/>
      <c r="AQ11" s="1320"/>
      <c r="AR11" s="1320"/>
      <c r="AS11" s="1320"/>
      <c r="AT11" s="1320"/>
      <c r="AU11" s="1423"/>
      <c r="AV11" s="1320"/>
      <c r="AW11" s="1423"/>
      <c r="AX11" s="1320"/>
      <c r="AY11" s="1320"/>
      <c r="AZ11" s="1320"/>
      <c r="BA11" s="1320"/>
      <c r="BB11" s="1324"/>
      <c r="BC11" s="2920"/>
      <c r="BE11" s="437"/>
      <c r="BF11" s="437"/>
      <c r="BG11" s="437"/>
      <c r="BH11" s="437"/>
      <c r="BI11" s="1082">
        <v>0</v>
      </c>
    </row>
    <row r="12" spans="1:61" ht="11.25" hidden="1" customHeight="1">
      <c r="A12" s="1290"/>
      <c r="B12" s="1290"/>
      <c r="C12" s="1290"/>
      <c r="D12" s="1290"/>
      <c r="E12" s="2897"/>
      <c r="F12" s="2897"/>
      <c r="G12" s="2897"/>
      <c r="H12" s="2897"/>
      <c r="I12" s="2899"/>
      <c r="J12" s="2899"/>
      <c r="K12" s="2898"/>
      <c r="L12" s="1291"/>
      <c r="P12" s="2900"/>
      <c r="Q12" s="2900"/>
      <c r="R12" s="2957"/>
      <c r="S12" s="2956"/>
      <c r="T12" s="2976"/>
      <c r="U12" s="238"/>
      <c r="V12" s="1320"/>
      <c r="W12" s="1321" t="str">
        <f>Z8&amp;"-"&amp;AB8</f>
        <v>-</v>
      </c>
      <c r="X12" s="1320"/>
      <c r="Y12" s="1321" t="str">
        <f>AB8&amp;"-"&amp;AD8</f>
        <v>-да</v>
      </c>
      <c r="Z12" s="1320"/>
      <c r="AA12" s="1320"/>
      <c r="AB12" s="1320"/>
      <c r="AC12" s="1320"/>
      <c r="AD12" s="2773"/>
      <c r="AE12" s="250"/>
      <c r="AF12" s="252"/>
      <c r="AG12" s="353" t="s">
        <v>551</v>
      </c>
      <c r="AH12" s="1320"/>
      <c r="AI12" s="1320"/>
      <c r="AJ12" s="1320"/>
      <c r="AK12" s="1320"/>
      <c r="AL12" s="1320"/>
      <c r="AM12" s="1320"/>
      <c r="AN12" s="1320"/>
      <c r="AO12" s="1320"/>
      <c r="AP12" s="1320"/>
      <c r="AQ12" s="1320"/>
      <c r="AR12" s="1320"/>
      <c r="AS12" s="1320"/>
      <c r="AT12" s="1320"/>
      <c r="AU12" s="1321" t="str">
        <f>AX8&amp;"-"&amp;AZ8</f>
        <v>-</v>
      </c>
      <c r="AV12" s="1320"/>
      <c r="AW12" s="1321" t="str">
        <f>AZ8&amp;"-"&amp;BB8</f>
        <v>-</v>
      </c>
      <c r="AX12" s="1320"/>
      <c r="AY12" s="1320"/>
      <c r="AZ12" s="1320"/>
      <c r="BA12" s="1320"/>
      <c r="BB12" s="1323" t="str">
        <f>BE8&amp;"-"&amp;BG8</f>
        <v>-</v>
      </c>
      <c r="BC12" s="2920"/>
      <c r="BE12" s="437"/>
      <c r="BF12" s="437" t="str">
        <f t="shared" ref="BF12:BF18" si="1">IF(T12="","",T12)</f>
        <v/>
      </c>
      <c r="BG12" s="437"/>
      <c r="BH12" s="437"/>
      <c r="BI12" s="1082">
        <v>0</v>
      </c>
    </row>
    <row r="13" spans="1:61" ht="11.25" hidden="1" customHeight="1">
      <c r="A13" s="1290"/>
      <c r="B13" s="1290"/>
      <c r="C13" s="1290"/>
      <c r="D13" s="1290"/>
      <c r="E13" s="2897"/>
      <c r="F13" s="2897"/>
      <c r="G13" s="2897"/>
      <c r="H13" s="2897"/>
      <c r="I13" s="2899"/>
      <c r="J13" s="2898"/>
      <c r="K13" s="1290"/>
      <c r="L13" s="1291"/>
      <c r="P13" s="2900"/>
      <c r="Q13" s="2900"/>
      <c r="R13" s="293"/>
      <c r="S13" s="1205"/>
      <c r="T13" s="225" t="s">
        <v>514</v>
      </c>
      <c r="U13" s="304"/>
      <c r="V13" s="304"/>
      <c r="W13" s="304"/>
      <c r="X13" s="304"/>
      <c r="Y13" s="304"/>
      <c r="Z13" s="304"/>
      <c r="AA13" s="304"/>
      <c r="AB13" s="304"/>
      <c r="AC13" s="304"/>
      <c r="AD13" s="1432"/>
      <c r="AE13" s="304"/>
      <c r="AF13" s="304"/>
      <c r="AG13" s="304"/>
      <c r="AH13" s="304"/>
      <c r="AI13" s="304"/>
      <c r="AJ13" s="304"/>
      <c r="AK13" s="304"/>
      <c r="AL13" s="304"/>
      <c r="AM13" s="304"/>
      <c r="AN13" s="304"/>
      <c r="AO13" s="304"/>
      <c r="AP13" s="304"/>
      <c r="AQ13" s="304"/>
      <c r="AR13" s="304"/>
      <c r="AS13" s="304"/>
      <c r="AT13" s="304"/>
      <c r="AU13" s="304"/>
      <c r="AV13" s="304"/>
      <c r="AW13" s="304"/>
      <c r="AX13" s="304"/>
      <c r="AY13" s="304"/>
      <c r="AZ13" s="304"/>
      <c r="BA13" s="304"/>
      <c r="BB13" s="262"/>
      <c r="BC13" s="2921"/>
      <c r="BE13" s="437"/>
      <c r="BF13" s="437" t="str">
        <f t="shared" si="1"/>
        <v>Добавить строку</v>
      </c>
      <c r="BG13" s="437"/>
      <c r="BH13" s="437"/>
      <c r="BI13" s="1082">
        <v>0</v>
      </c>
    </row>
    <row r="14" spans="1:61" s="1569" customFormat="1" ht="14.25" hidden="1" customHeight="1">
      <c r="A14" s="1270"/>
      <c r="B14" s="1270"/>
      <c r="C14" s="1270"/>
      <c r="D14" s="1270"/>
      <c r="E14" s="2897"/>
      <c r="F14" s="2897"/>
      <c r="G14" s="2897"/>
      <c r="H14" s="2897"/>
      <c r="I14" s="2898"/>
      <c r="J14" s="1270"/>
      <c r="K14" s="1270"/>
      <c r="L14" s="1273"/>
      <c r="M14" s="447"/>
      <c r="N14" s="447"/>
      <c r="O14" s="447"/>
      <c r="P14" s="2900"/>
      <c r="Q14" s="1408"/>
      <c r="R14" s="293"/>
      <c r="S14" s="1313"/>
      <c r="T14" s="1314"/>
      <c r="U14" s="1315"/>
      <c r="V14" s="1315"/>
      <c r="W14" s="1315"/>
      <c r="X14" s="1315"/>
      <c r="Y14" s="1315"/>
      <c r="Z14" s="1315"/>
      <c r="AA14" s="1315"/>
      <c r="AB14" s="1315"/>
      <c r="AC14" s="1315"/>
      <c r="AD14" s="1315"/>
      <c r="AE14" s="1315"/>
      <c r="AF14" s="1315"/>
      <c r="AG14" s="1315"/>
      <c r="AH14" s="1315"/>
      <c r="AI14" s="1315"/>
      <c r="AJ14" s="1315"/>
      <c r="AK14" s="1315"/>
      <c r="AL14" s="1315"/>
      <c r="AM14" s="1315"/>
      <c r="AN14" s="1315"/>
      <c r="AO14" s="1315"/>
      <c r="AP14" s="1315"/>
      <c r="AQ14" s="1315"/>
      <c r="AR14" s="1315"/>
      <c r="AS14" s="1315"/>
      <c r="AT14" s="1315"/>
      <c r="AU14" s="1315"/>
      <c r="AV14" s="1315"/>
      <c r="AW14" s="1315"/>
      <c r="AX14" s="1315"/>
      <c r="AY14" s="1315"/>
      <c r="AZ14" s="1315"/>
      <c r="BA14" s="1315"/>
      <c r="BB14" s="1315"/>
      <c r="BC14" s="1316"/>
      <c r="BE14" s="437"/>
      <c r="BF14" s="437" t="str">
        <f t="shared" si="1"/>
        <v/>
      </c>
      <c r="BG14" s="437"/>
      <c r="BH14" s="437"/>
      <c r="BI14" s="448">
        <v>0</v>
      </c>
    </row>
    <row r="15" spans="1:61" s="1569" customFormat="1" ht="14.25" hidden="1" customHeight="1">
      <c r="A15" s="1270"/>
      <c r="B15" s="1270"/>
      <c r="C15" s="1270"/>
      <c r="D15" s="1270"/>
      <c r="E15" s="2897"/>
      <c r="F15" s="2897"/>
      <c r="G15" s="2897"/>
      <c r="H15" s="2896"/>
      <c r="I15" s="1270"/>
      <c r="J15" s="1270"/>
      <c r="K15" s="1270"/>
      <c r="L15" s="1273"/>
      <c r="M15" s="1242"/>
      <c r="N15" s="1242"/>
      <c r="O15" s="455"/>
      <c r="P15" s="317"/>
      <c r="Q15" s="1271"/>
      <c r="R15" s="1328"/>
      <c r="S15" s="1313"/>
      <c r="T15" s="1314"/>
      <c r="U15" s="1315"/>
      <c r="V15" s="1315"/>
      <c r="W15" s="1315"/>
      <c r="X15" s="1315"/>
      <c r="Y15" s="1315"/>
      <c r="Z15" s="1315"/>
      <c r="AA15" s="1315"/>
      <c r="AB15" s="1315"/>
      <c r="AC15" s="1315"/>
      <c r="AD15" s="1315"/>
      <c r="AE15" s="1315"/>
      <c r="AF15" s="1315"/>
      <c r="AG15" s="1315"/>
      <c r="AH15" s="1315"/>
      <c r="AI15" s="1315"/>
      <c r="AJ15" s="1315"/>
      <c r="AK15" s="1315"/>
      <c r="AL15" s="1315"/>
      <c r="AM15" s="1315"/>
      <c r="AN15" s="1315"/>
      <c r="AO15" s="1315"/>
      <c r="AP15" s="1315"/>
      <c r="AQ15" s="1315"/>
      <c r="AR15" s="1315"/>
      <c r="AS15" s="1315"/>
      <c r="AT15" s="1315"/>
      <c r="AU15" s="1315"/>
      <c r="AV15" s="1315"/>
      <c r="AW15" s="1315"/>
      <c r="AX15" s="1315"/>
      <c r="AY15" s="1315"/>
      <c r="AZ15" s="1315"/>
      <c r="BA15" s="1315"/>
      <c r="BB15" s="1315"/>
      <c r="BC15" s="1316"/>
      <c r="BE15" s="437"/>
      <c r="BF15" s="437" t="str">
        <f t="shared" si="1"/>
        <v/>
      </c>
      <c r="BG15" s="437"/>
      <c r="BH15" s="437"/>
      <c r="BI15" s="448">
        <v>0</v>
      </c>
    </row>
    <row r="16" spans="1:61" s="1569" customFormat="1" ht="14.25" hidden="1" customHeight="1">
      <c r="A16" s="1270"/>
      <c r="B16" s="1270"/>
      <c r="C16" s="1270"/>
      <c r="D16" s="1241"/>
      <c r="E16" s="2897"/>
      <c r="F16" s="2897"/>
      <c r="G16" s="2896"/>
      <c r="H16" s="1241"/>
      <c r="I16" s="1241"/>
      <c r="J16" s="1241"/>
      <c r="K16" s="1241"/>
      <c r="L16" s="1421"/>
      <c r="M16" s="1242"/>
      <c r="N16" s="1242"/>
      <c r="P16" s="1243"/>
      <c r="Q16" s="1244"/>
      <c r="R16" s="1243"/>
      <c r="S16" s="1249"/>
      <c r="T16" s="1252"/>
      <c r="U16" s="1251"/>
      <c r="V16" s="1251"/>
      <c r="W16" s="1251"/>
      <c r="X16" s="1251"/>
      <c r="Y16" s="1251"/>
      <c r="Z16" s="1251"/>
      <c r="AA16" s="1251"/>
      <c r="AB16" s="1251"/>
      <c r="AC16" s="1251"/>
      <c r="AD16" s="1251"/>
      <c r="AE16" s="1251"/>
      <c r="AF16" s="1251"/>
      <c r="AG16" s="1251"/>
      <c r="AH16" s="1251"/>
      <c r="AI16" s="1251"/>
      <c r="AJ16" s="1251"/>
      <c r="AK16" s="1251"/>
      <c r="AL16" s="1251"/>
      <c r="AM16" s="1251"/>
      <c r="AN16" s="1251"/>
      <c r="AO16" s="1251"/>
      <c r="AP16" s="1251"/>
      <c r="AQ16" s="1251"/>
      <c r="AR16" s="1251"/>
      <c r="AS16" s="1251"/>
      <c r="AT16" s="1251"/>
      <c r="AU16" s="1251"/>
      <c r="AV16" s="1251"/>
      <c r="AW16" s="1251"/>
      <c r="AX16" s="1251"/>
      <c r="AY16" s="1251"/>
      <c r="AZ16" s="1251"/>
      <c r="BA16" s="1251"/>
      <c r="BB16" s="1251"/>
      <c r="BC16" s="1251"/>
      <c r="BE16" s="720"/>
      <c r="BF16" s="720" t="str">
        <f t="shared" si="1"/>
        <v/>
      </c>
      <c r="BG16" s="720"/>
      <c r="BH16" s="720"/>
      <c r="BI16" s="455">
        <v>0</v>
      </c>
    </row>
    <row r="17" spans="1:61" s="1569" customFormat="1" ht="14.25" hidden="1" customHeight="1">
      <c r="A17" s="1270"/>
      <c r="B17" s="1270"/>
      <c r="C17" s="1241"/>
      <c r="D17" s="1241"/>
      <c r="E17" s="2897"/>
      <c r="F17" s="2896"/>
      <c r="G17" s="1241"/>
      <c r="H17" s="1241"/>
      <c r="I17" s="1241"/>
      <c r="J17" s="1241"/>
      <c r="K17" s="1241"/>
      <c r="L17" s="1421"/>
      <c r="M17" s="1248"/>
      <c r="N17" s="1248"/>
      <c r="P17" s="1243"/>
      <c r="Q17" s="1244"/>
      <c r="R17" s="1243"/>
      <c r="S17" s="1249"/>
      <c r="T17" s="1252" t="s">
        <v>176</v>
      </c>
      <c r="U17" s="1251"/>
      <c r="V17" s="1251"/>
      <c r="W17" s="1251"/>
      <c r="X17" s="1251"/>
      <c r="Y17" s="1251"/>
      <c r="Z17" s="1251"/>
      <c r="AA17" s="1251"/>
      <c r="AB17" s="1251"/>
      <c r="AC17" s="1251"/>
      <c r="AD17" s="1251"/>
      <c r="AE17" s="1251"/>
      <c r="AF17" s="1251"/>
      <c r="AG17" s="1251"/>
      <c r="AH17" s="1251"/>
      <c r="AI17" s="1251"/>
      <c r="AJ17" s="1251"/>
      <c r="AK17" s="1251"/>
      <c r="AL17" s="1251"/>
      <c r="AM17" s="1251"/>
      <c r="AN17" s="1251"/>
      <c r="AO17" s="1251"/>
      <c r="AP17" s="1251"/>
      <c r="AQ17" s="1251"/>
      <c r="AR17" s="1251"/>
      <c r="AS17" s="1251"/>
      <c r="AT17" s="1251"/>
      <c r="AU17" s="1251"/>
      <c r="AV17" s="1251"/>
      <c r="AW17" s="1251"/>
      <c r="AX17" s="1251"/>
      <c r="AY17" s="1251"/>
      <c r="AZ17" s="1251"/>
      <c r="BA17" s="1251"/>
      <c r="BB17" s="1251"/>
      <c r="BC17" s="1251"/>
      <c r="BE17" s="720"/>
      <c r="BF17" s="720" t="str">
        <f t="shared" si="1"/>
        <v>Добавить централизованную систему для дифференциации</v>
      </c>
      <c r="BG17" s="720"/>
      <c r="BH17" s="720"/>
      <c r="BI17" s="455">
        <v>0</v>
      </c>
    </row>
    <row r="18" spans="1:61" s="1569" customFormat="1" ht="14.25" hidden="1" customHeight="1">
      <c r="A18" s="1270"/>
      <c r="B18" s="1270"/>
      <c r="C18" s="1270"/>
      <c r="D18" s="1270"/>
      <c r="E18" s="2896"/>
      <c r="F18" s="1270"/>
      <c r="G18" s="1270"/>
      <c r="H18" s="1270"/>
      <c r="I18" s="1270"/>
      <c r="J18" s="1270"/>
      <c r="K18" s="1270"/>
      <c r="L18" s="1273"/>
      <c r="M18" s="1248"/>
      <c r="N18" s="1248"/>
      <c r="O18" s="455"/>
      <c r="P18" s="317"/>
      <c r="Q18" s="1271"/>
      <c r="R18" s="317"/>
      <c r="S18" s="1249"/>
      <c r="T18" s="1252" t="s">
        <v>178</v>
      </c>
      <c r="U18" s="1251"/>
      <c r="V18" s="1251"/>
      <c r="W18" s="1251"/>
      <c r="X18" s="1251"/>
      <c r="Y18" s="1251"/>
      <c r="Z18" s="1251"/>
      <c r="AA18" s="1251"/>
      <c r="AB18" s="1251"/>
      <c r="AC18" s="1251"/>
      <c r="AD18" s="1251"/>
      <c r="AE18" s="1251"/>
      <c r="AF18" s="1251"/>
      <c r="AG18" s="1251"/>
      <c r="AH18" s="1251"/>
      <c r="AI18" s="1251"/>
      <c r="AJ18" s="1251"/>
      <c r="AK18" s="1251"/>
      <c r="AL18" s="1251"/>
      <c r="AM18" s="1251"/>
      <c r="AN18" s="1251"/>
      <c r="AO18" s="1251"/>
      <c r="AP18" s="1251"/>
      <c r="AQ18" s="1251"/>
      <c r="AR18" s="1251"/>
      <c r="AS18" s="1251"/>
      <c r="AT18" s="1251"/>
      <c r="AU18" s="1251"/>
      <c r="AV18" s="1251"/>
      <c r="AW18" s="1251"/>
      <c r="AX18" s="1251"/>
      <c r="AY18" s="1251"/>
      <c r="AZ18" s="1251"/>
      <c r="BA18" s="1251"/>
      <c r="BB18" s="1251"/>
      <c r="BC18" s="1251"/>
      <c r="BE18" s="437"/>
      <c r="BF18" s="437" t="str">
        <f t="shared" si="1"/>
        <v>Добавить территорию для дифференциации</v>
      </c>
      <c r="BG18" s="437"/>
      <c r="BH18" s="437"/>
      <c r="BI18" s="448">
        <v>0</v>
      </c>
    </row>
    <row r="19" spans="1:61" ht="14.25" hidden="1" customHeight="1">
      <c r="AC19" s="265"/>
      <c r="BA19" s="265"/>
      <c r="BI19" s="1082">
        <v>0</v>
      </c>
    </row>
    <row r="20" spans="1:61" ht="14.25" hidden="1" customHeight="1">
      <c r="AD20" s="1251" t="s">
        <v>19</v>
      </c>
      <c r="AE20" s="1428"/>
      <c r="AF20" s="485">
        <v>1</v>
      </c>
      <c r="AG20" s="1429"/>
      <c r="AH20" s="1251" t="s">
        <v>19</v>
      </c>
      <c r="AI20" s="1428"/>
      <c r="AJ20" s="485">
        <v>1</v>
      </c>
      <c r="AK20" s="1429"/>
      <c r="AL20" s="1251" t="s">
        <v>19</v>
      </c>
      <c r="AM20" s="1430"/>
      <c r="AN20" s="485">
        <v>1</v>
      </c>
      <c r="AO20" s="1431"/>
      <c r="AP20" s="1251" t="s">
        <v>19</v>
      </c>
      <c r="AQ20" s="1430"/>
      <c r="AR20" s="485">
        <v>1</v>
      </c>
      <c r="AS20" s="1431"/>
      <c r="AT20" s="263"/>
      <c r="AU20" s="321"/>
      <c r="AV20" s="263"/>
      <c r="AW20" s="321"/>
      <c r="AX20" s="1662"/>
      <c r="AY20" s="1412" t="s">
        <v>71</v>
      </c>
      <c r="AZ20" s="1662"/>
      <c r="BA20" s="1412" t="s">
        <v>71</v>
      </c>
      <c r="BI20" s="1082">
        <v>0</v>
      </c>
    </row>
    <row r="21" spans="1:61" ht="14.25" hidden="1" customHeight="1">
      <c r="BD21" s="433"/>
      <c r="BE21" s="433"/>
      <c r="BF21" s="433"/>
      <c r="BG21" s="433"/>
      <c r="BH21" s="433"/>
      <c r="BI21" s="1082">
        <v>0</v>
      </c>
    </row>
    <row r="22" spans="1:61" ht="14.25" hidden="1" customHeight="1">
      <c r="O22" s="1294" t="s">
        <v>459</v>
      </c>
      <c r="Z22" s="1272"/>
      <c r="AB22" s="1272"/>
      <c r="AC22" s="265"/>
      <c r="AX22" s="1272"/>
      <c r="AZ22" s="1272"/>
      <c r="BA22" s="265"/>
      <c r="BD22" s="433"/>
      <c r="BE22" s="433"/>
      <c r="BF22" s="433"/>
      <c r="BG22" s="433"/>
      <c r="BH22" s="433"/>
      <c r="BI22" s="1082">
        <v>0</v>
      </c>
    </row>
    <row r="23" spans="1:61" ht="14.25" hidden="1" customHeight="1">
      <c r="AC23" s="265"/>
      <c r="BA23" s="265"/>
      <c r="BD23" s="433"/>
      <c r="BE23" s="433"/>
      <c r="BF23" s="433"/>
      <c r="BG23" s="433"/>
      <c r="BH23" s="433"/>
      <c r="BI23" s="1082">
        <v>0</v>
      </c>
    </row>
    <row r="24" spans="1:61" s="1436" customFormat="1" ht="14.25" hidden="1" customHeight="1">
      <c r="M24" s="1435"/>
      <c r="N24" s="1435"/>
      <c r="O24" s="1436" t="s">
        <v>460</v>
      </c>
      <c r="P24" s="1435"/>
      <c r="Q24" s="1437"/>
      <c r="R24" s="1437"/>
      <c r="AA24" s="1434" t="s">
        <v>462</v>
      </c>
      <c r="AC24" s="1434" t="s">
        <v>463</v>
      </c>
      <c r="AD24" s="1434" t="s">
        <v>515</v>
      </c>
      <c r="AH24" s="1434" t="s">
        <v>515</v>
      </c>
      <c r="AK24" s="1434" t="s">
        <v>552</v>
      </c>
      <c r="AL24" s="1434" t="s">
        <v>515</v>
      </c>
      <c r="AP24" s="1434" t="s">
        <v>515</v>
      </c>
      <c r="AY24" s="1434" t="s">
        <v>462</v>
      </c>
      <c r="BA24" s="1434" t="s">
        <v>463</v>
      </c>
      <c r="BD24" s="1438"/>
      <c r="BE24" s="1438"/>
      <c r="BF24" s="1438"/>
      <c r="BG24" s="1438"/>
      <c r="BH24" s="1438"/>
      <c r="BI24" s="1434">
        <v>0</v>
      </c>
    </row>
    <row r="25" spans="1:61" ht="14.25" hidden="1" customHeight="1">
      <c r="O25" s="1291"/>
      <c r="BD25" s="433"/>
      <c r="BE25" s="433"/>
      <c r="BF25" s="433"/>
      <c r="BG25" s="433"/>
      <c r="BH25" s="433"/>
      <c r="BI25" s="1082">
        <v>0</v>
      </c>
    </row>
    <row r="26" spans="1:61" ht="14.25" hidden="1" customHeight="1">
      <c r="O26" s="1291"/>
      <c r="BD26" s="433"/>
      <c r="BE26" s="433"/>
      <c r="BF26" s="433"/>
      <c r="BG26" s="433"/>
      <c r="BH26" s="433"/>
      <c r="BI26" s="1082">
        <v>0</v>
      </c>
    </row>
    <row r="27" spans="1:61" ht="15" customHeight="1">
      <c r="Q27" s="229"/>
      <c r="R27" s="313"/>
      <c r="S27" s="1202"/>
      <c r="T27" s="300"/>
      <c r="U27" s="300"/>
      <c r="V27" s="446"/>
      <c r="W27" s="446"/>
      <c r="X27" s="446"/>
      <c r="Y27" s="446"/>
      <c r="Z27" s="446"/>
      <c r="AA27" s="446"/>
      <c r="AB27" s="446"/>
      <c r="AC27" s="446"/>
      <c r="AD27" s="446"/>
      <c r="AE27" s="446"/>
      <c r="AF27" s="446"/>
      <c r="AG27" s="446"/>
      <c r="AH27" s="446"/>
      <c r="AI27" s="446"/>
      <c r="AJ27" s="446"/>
      <c r="AK27" s="446"/>
      <c r="AL27" s="446"/>
      <c r="AM27" s="446"/>
      <c r="AN27" s="446"/>
      <c r="AO27" s="446"/>
      <c r="AP27" s="446"/>
      <c r="AQ27" s="446"/>
      <c r="AR27" s="446"/>
      <c r="AS27" s="446"/>
      <c r="AT27" s="446"/>
      <c r="AU27" s="446"/>
      <c r="AV27" s="446"/>
      <c r="AW27" s="446"/>
      <c r="AX27" s="446"/>
      <c r="AY27" s="446"/>
      <c r="AZ27" s="446"/>
      <c r="BA27" s="446"/>
      <c r="BI27" s="1082">
        <v>14</v>
      </c>
    </row>
    <row r="28" spans="1:61" ht="15" customHeight="1">
      <c r="Q28" s="229"/>
      <c r="R28" s="313"/>
      <c r="S28" s="2877" t="str">
        <f>IF(TEMPLATE_GROUP="P",PT_P_FORM_HOTVSNA_5_NAME_FORM,PT_R_FORM_HOTVSNA_17_NAME_FORM)</f>
        <v>Форма 14. Информация о предложении организации горячего водоснабжения расчетной величины тарифов на подключение (технологическое присоединение) к централизованной системе горячего водоснабжения</v>
      </c>
      <c r="T28" s="2877"/>
      <c r="U28" s="2877"/>
      <c r="V28" s="2877"/>
      <c r="W28" s="2877"/>
      <c r="X28" s="2877"/>
      <c r="Y28" s="2877"/>
      <c r="Z28" s="2877"/>
      <c r="AA28" s="2877"/>
      <c r="AB28" s="2877"/>
      <c r="AC28" s="2877"/>
      <c r="AD28" s="2877"/>
      <c r="AE28" s="2877"/>
      <c r="AF28" s="2877"/>
      <c r="AG28" s="2877"/>
      <c r="AH28" s="2877"/>
      <c r="AI28" s="2877"/>
      <c r="AJ28" s="2877"/>
      <c r="AK28" s="2877"/>
      <c r="AL28" s="2877"/>
      <c r="AM28" s="2877"/>
      <c r="AN28" s="2877"/>
      <c r="AO28" s="2877"/>
      <c r="AP28" s="2877"/>
      <c r="AQ28" s="2877"/>
      <c r="AR28" s="2877"/>
      <c r="AS28" s="2877"/>
      <c r="AT28" s="2877"/>
      <c r="AU28" s="2877"/>
      <c r="AV28" s="2877"/>
      <c r="AW28" s="2877"/>
      <c r="AX28" s="2877"/>
      <c r="AY28" s="2877"/>
      <c r="AZ28" s="2877"/>
      <c r="BA28" s="1170"/>
      <c r="BI28" s="1082">
        <v>14</v>
      </c>
    </row>
    <row r="29" spans="1:61" ht="15" customHeight="1">
      <c r="Q29" s="229"/>
      <c r="R29" s="313"/>
      <c r="S29" s="2849" t="str">
        <f>IF(org=0,"Не определено",org)</f>
        <v>ТМУП "ТТС"</v>
      </c>
      <c r="T29" s="2849"/>
      <c r="U29" s="2849"/>
      <c r="V29" s="2849"/>
      <c r="W29" s="2849"/>
      <c r="X29" s="2849"/>
      <c r="Y29" s="2849"/>
      <c r="Z29" s="2849"/>
      <c r="AA29" s="2849"/>
      <c r="AB29" s="2849"/>
      <c r="AC29" s="2849"/>
      <c r="AD29" s="2849"/>
      <c r="AE29" s="2849"/>
      <c r="AF29" s="2849"/>
      <c r="AG29" s="2849"/>
      <c r="AH29" s="2849"/>
      <c r="AI29" s="2849"/>
      <c r="AJ29" s="2849"/>
      <c r="AK29" s="2849"/>
      <c r="AL29" s="2849"/>
      <c r="AM29" s="2849"/>
      <c r="AN29" s="2849"/>
      <c r="AO29" s="2849"/>
      <c r="AP29" s="2849"/>
      <c r="AQ29" s="2849"/>
      <c r="AR29" s="2849"/>
      <c r="AS29" s="2849"/>
      <c r="AT29" s="2849"/>
      <c r="AU29" s="2849"/>
      <c r="AV29" s="2849"/>
      <c r="AW29" s="2849"/>
      <c r="AX29" s="2849"/>
      <c r="AY29" s="2849"/>
      <c r="AZ29" s="2849"/>
      <c r="BA29" s="1170"/>
      <c r="BI29" s="1082">
        <v>14</v>
      </c>
    </row>
    <row r="30" spans="1:61" ht="14.25" hidden="1" customHeight="1">
      <c r="Q30" s="229"/>
      <c r="R30" s="313"/>
      <c r="S30" s="1202"/>
      <c r="T30" s="300"/>
      <c r="U30" s="300"/>
      <c r="V30" s="260"/>
      <c r="W30" s="260"/>
      <c r="X30" s="260"/>
      <c r="Y30" s="260"/>
      <c r="Z30" s="260"/>
      <c r="AA30" s="260"/>
      <c r="AB30" s="260"/>
      <c r="AC30" s="260"/>
      <c r="AD30" s="260"/>
      <c r="AE30" s="260"/>
      <c r="AF30" s="260"/>
      <c r="AG30" s="260"/>
      <c r="AH30" s="260"/>
      <c r="AI30" s="260"/>
      <c r="AJ30" s="260"/>
      <c r="AK30" s="260"/>
      <c r="AL30" s="260"/>
      <c r="AM30" s="260"/>
      <c r="AN30" s="260"/>
      <c r="AO30" s="260"/>
      <c r="AP30" s="260"/>
      <c r="AQ30" s="260"/>
      <c r="AR30" s="260"/>
      <c r="AS30" s="260"/>
      <c r="AT30" s="260"/>
      <c r="AU30" s="260"/>
      <c r="AV30" s="260"/>
      <c r="AW30" s="260"/>
      <c r="AX30" s="260"/>
      <c r="AY30" s="260"/>
      <c r="AZ30" s="260"/>
      <c r="BA30" s="260"/>
      <c r="BB30" s="446"/>
      <c r="BI30" s="1082">
        <v>0</v>
      </c>
    </row>
    <row r="31" spans="1:61" s="1778" customFormat="1" ht="25.5" hidden="1" customHeight="1">
      <c r="A31" s="1295"/>
      <c r="B31" s="1295"/>
      <c r="C31" s="1295"/>
      <c r="D31" s="1295"/>
      <c r="E31" s="1295"/>
      <c r="F31" s="1295"/>
      <c r="G31" s="1295"/>
      <c r="H31" s="1295"/>
      <c r="I31" s="1295"/>
      <c r="J31" s="1295"/>
      <c r="K31" s="1295"/>
      <c r="L31" s="1296"/>
      <c r="M31" s="1295"/>
      <c r="N31" s="1295"/>
      <c r="O31" s="1295"/>
      <c r="P31" s="1295"/>
      <c r="Q31" s="1295"/>
      <c r="S31" s="2887" t="s">
        <v>46</v>
      </c>
      <c r="T31" s="2887"/>
      <c r="U31" s="1299"/>
      <c r="V31" s="2889" t="str">
        <f>IF(TITLE_NAME_OR_PR_CHANGE="",IF(TITLE_NAME_OR_PR="","",TITLE_NAME_OR_PR),TITLE_NAME_OR_PR_CHANGE)</f>
        <v/>
      </c>
      <c r="W31" s="2889"/>
      <c r="X31" s="2889"/>
      <c r="Y31" s="2889"/>
      <c r="Z31" s="2889"/>
      <c r="AA31" s="2889"/>
      <c r="AB31" s="2889"/>
      <c r="AC31" s="264"/>
      <c r="AD31" s="2889" t="str">
        <f>IF(TITLE_NAME_OR_PR_CHANGE="",IF(TITLE_NAME_OR_PR="","",TITLE_NAME_OR_PR),TITLE_NAME_OR_PR_CHANGE)</f>
        <v/>
      </c>
      <c r="AE31" s="2889"/>
      <c r="AF31" s="2889"/>
      <c r="AG31" s="2889"/>
      <c r="AH31" s="2889"/>
      <c r="AI31" s="2889"/>
      <c r="AJ31" s="2889"/>
      <c r="AK31" s="2889"/>
      <c r="AL31" s="2889"/>
      <c r="AM31" s="2889"/>
      <c r="AN31" s="2889"/>
      <c r="AO31" s="2889"/>
      <c r="AP31" s="2889"/>
      <c r="AQ31" s="2889"/>
      <c r="AR31" s="2889"/>
      <c r="AS31" s="2889"/>
      <c r="AT31" s="2889"/>
      <c r="AU31" s="2889"/>
      <c r="AV31" s="2889"/>
      <c r="AW31" s="2889"/>
      <c r="AX31" s="2889"/>
      <c r="AY31" s="2889"/>
      <c r="AZ31" s="2889"/>
      <c r="BA31" s="264"/>
      <c r="BB31" s="264"/>
      <c r="BC31" s="218"/>
      <c r="BD31" s="305"/>
      <c r="BE31" s="305"/>
      <c r="BF31" s="305"/>
      <c r="BG31" s="305"/>
      <c r="BH31" s="305"/>
      <c r="BI31" s="355">
        <v>0</v>
      </c>
    </row>
    <row r="32" spans="1:61" s="1778" customFormat="1" ht="18.75" hidden="1" customHeight="1">
      <c r="A32" s="1295"/>
      <c r="B32" s="1295"/>
      <c r="C32" s="1295"/>
      <c r="D32" s="1295"/>
      <c r="E32" s="1295"/>
      <c r="F32" s="1295"/>
      <c r="G32" s="1295"/>
      <c r="H32" s="1295"/>
      <c r="I32" s="1295"/>
      <c r="J32" s="1295"/>
      <c r="K32" s="1295"/>
      <c r="L32" s="1296"/>
      <c r="M32" s="1295"/>
      <c r="N32" s="1295"/>
      <c r="O32" s="1295"/>
      <c r="P32" s="1295"/>
      <c r="Q32" s="1295"/>
      <c r="S32" s="2887" t="s">
        <v>465</v>
      </c>
      <c r="T32" s="2887"/>
      <c r="U32" s="1299"/>
      <c r="V32" s="2888" t="str">
        <f>IF(TITLE_DATE_PR_CHANGE="",IF(TITLE_DATE_PR="","",TITLE_DATE_PR),TITLE_DATE_PR_CHANGE)</f>
        <v>14.11.2024</v>
      </c>
      <c r="W32" s="2888"/>
      <c r="X32" s="2888"/>
      <c r="Y32" s="2888"/>
      <c r="Z32" s="2888"/>
      <c r="AA32" s="2888"/>
      <c r="AB32" s="2888"/>
      <c r="AC32" s="264"/>
      <c r="AD32" s="2888" t="str">
        <f>IF(TITLE_DATE_PR_CHANGE="",IF(TITLE_DATE_PR="","",TITLE_DATE_PR),TITLE_DATE_PR_CHANGE)</f>
        <v>14.11.2024</v>
      </c>
      <c r="AE32" s="2888"/>
      <c r="AF32" s="2888"/>
      <c r="AG32" s="2888"/>
      <c r="AH32" s="2888"/>
      <c r="AI32" s="2888"/>
      <c r="AJ32" s="2888"/>
      <c r="AK32" s="2888"/>
      <c r="AL32" s="2888"/>
      <c r="AM32" s="2888"/>
      <c r="AN32" s="2888"/>
      <c r="AO32" s="2888"/>
      <c r="AP32" s="2888"/>
      <c r="AQ32" s="2888"/>
      <c r="AR32" s="2888"/>
      <c r="AS32" s="2888"/>
      <c r="AT32" s="2888"/>
      <c r="AU32" s="2888"/>
      <c r="AV32" s="2888"/>
      <c r="AW32" s="2888"/>
      <c r="AX32" s="2888"/>
      <c r="AY32" s="2888"/>
      <c r="AZ32" s="2888"/>
      <c r="BA32" s="264"/>
      <c r="BB32" s="264"/>
      <c r="BC32" s="218"/>
      <c r="BD32" s="305"/>
      <c r="BE32" s="305"/>
      <c r="BF32" s="305"/>
      <c r="BG32" s="305"/>
      <c r="BH32" s="305"/>
      <c r="BI32" s="355">
        <v>0</v>
      </c>
    </row>
    <row r="33" spans="1:61" s="1778" customFormat="1" ht="18.75" hidden="1" customHeight="1">
      <c r="A33" s="1295"/>
      <c r="B33" s="1295"/>
      <c r="C33" s="1295"/>
      <c r="D33" s="1295"/>
      <c r="E33" s="1295"/>
      <c r="F33" s="1295"/>
      <c r="G33" s="1295"/>
      <c r="H33" s="1295"/>
      <c r="I33" s="1295"/>
      <c r="J33" s="1295"/>
      <c r="K33" s="1295"/>
      <c r="L33" s="1296"/>
      <c r="M33" s="1295"/>
      <c r="N33" s="1295"/>
      <c r="O33" s="1295"/>
      <c r="P33" s="1295"/>
      <c r="Q33" s="1295"/>
      <c r="S33" s="2887" t="s">
        <v>466</v>
      </c>
      <c r="T33" s="2887"/>
      <c r="U33" s="1299"/>
      <c r="V33" s="2889" t="str">
        <f>IF(TITLE_NUMBER_PR_CHANGE="",IF(TITLE_NUMBER_PR="","",TITLE_NUMBER_PR),TITLE_NUMBER_PR_CHANGE)</f>
        <v>947 от 12.11.2024</v>
      </c>
      <c r="W33" s="2889"/>
      <c r="X33" s="2889"/>
      <c r="Y33" s="2889"/>
      <c r="Z33" s="2889"/>
      <c r="AA33" s="2889"/>
      <c r="AB33" s="2889"/>
      <c r="AC33" s="264"/>
      <c r="AD33" s="2889" t="str">
        <f>IF(TITLE_NUMBER_PR_CHANGE="",IF(TITLE_NUMBER_PR="","",TITLE_NUMBER_PR),TITLE_NUMBER_PR_CHANGE)</f>
        <v>947 от 12.11.2024</v>
      </c>
      <c r="AE33" s="2889"/>
      <c r="AF33" s="2889"/>
      <c r="AG33" s="2889"/>
      <c r="AH33" s="2889"/>
      <c r="AI33" s="2889"/>
      <c r="AJ33" s="2889"/>
      <c r="AK33" s="2889"/>
      <c r="AL33" s="2889"/>
      <c r="AM33" s="2889"/>
      <c r="AN33" s="2889"/>
      <c r="AO33" s="2889"/>
      <c r="AP33" s="2889"/>
      <c r="AQ33" s="2889"/>
      <c r="AR33" s="2889"/>
      <c r="AS33" s="2889"/>
      <c r="AT33" s="2889"/>
      <c r="AU33" s="2889"/>
      <c r="AV33" s="2889"/>
      <c r="AW33" s="2889"/>
      <c r="AX33" s="2889"/>
      <c r="AY33" s="2889"/>
      <c r="AZ33" s="2889"/>
      <c r="BA33" s="264"/>
      <c r="BB33" s="264"/>
      <c r="BC33" s="218"/>
      <c r="BD33" s="305"/>
      <c r="BE33" s="305"/>
      <c r="BF33" s="305"/>
      <c r="BG33" s="305"/>
      <c r="BH33" s="305"/>
      <c r="BI33" s="355">
        <v>0</v>
      </c>
    </row>
    <row r="34" spans="1:61" s="1778" customFormat="1" ht="18.75" hidden="1" customHeight="1">
      <c r="A34" s="1295"/>
      <c r="B34" s="1295"/>
      <c r="C34" s="1295"/>
      <c r="D34" s="1295"/>
      <c r="E34" s="1295"/>
      <c r="F34" s="1295"/>
      <c r="G34" s="1295"/>
      <c r="H34" s="1295"/>
      <c r="I34" s="1295"/>
      <c r="J34" s="1295"/>
      <c r="K34" s="1295"/>
      <c r="L34" s="1296"/>
      <c r="M34" s="1295"/>
      <c r="N34" s="1295"/>
      <c r="O34" s="1295"/>
      <c r="P34" s="1295"/>
      <c r="Q34" s="1295"/>
      <c r="S34" s="2887" t="s">
        <v>47</v>
      </c>
      <c r="T34" s="2887"/>
      <c r="U34" s="1299"/>
      <c r="V34" s="2889" t="str">
        <f>IF(TITLE_IST_PUB_CHANGE="",IF(TITLE_IST_PUB="","",TITLE_IST_PUB),TITLE_IST_PUB_CHANGE)</f>
        <v/>
      </c>
      <c r="W34" s="2889"/>
      <c r="X34" s="2889"/>
      <c r="Y34" s="2889"/>
      <c r="Z34" s="2889"/>
      <c r="AA34" s="2889"/>
      <c r="AB34" s="2889"/>
      <c r="AC34" s="264"/>
      <c r="AD34" s="2889" t="str">
        <f>IF(TITLE_IST_PUB_CHANGE="",IF(TITLE_IST_PUB="","",TITLE_IST_PUB),TITLE_IST_PUB_CHANGE)</f>
        <v/>
      </c>
      <c r="AE34" s="2889"/>
      <c r="AF34" s="2889"/>
      <c r="AG34" s="2889"/>
      <c r="AH34" s="2889"/>
      <c r="AI34" s="2889"/>
      <c r="AJ34" s="2889"/>
      <c r="AK34" s="2889"/>
      <c r="AL34" s="2889"/>
      <c r="AM34" s="2889"/>
      <c r="AN34" s="2889"/>
      <c r="AO34" s="2889"/>
      <c r="AP34" s="2889"/>
      <c r="AQ34" s="2889"/>
      <c r="AR34" s="2889"/>
      <c r="AS34" s="2889"/>
      <c r="AT34" s="2889"/>
      <c r="AU34" s="2889"/>
      <c r="AV34" s="2889"/>
      <c r="AW34" s="2889"/>
      <c r="AX34" s="2889"/>
      <c r="AY34" s="2889"/>
      <c r="AZ34" s="2889"/>
      <c r="BA34" s="264"/>
      <c r="BB34" s="264"/>
      <c r="BC34" s="218"/>
      <c r="BD34" s="305"/>
      <c r="BE34" s="305"/>
      <c r="BF34" s="305"/>
      <c r="BG34" s="305"/>
      <c r="BH34" s="305"/>
      <c r="BI34" s="355">
        <v>0</v>
      </c>
    </row>
    <row r="35" spans="1:61" ht="14.25" customHeight="1">
      <c r="Q35" s="229"/>
      <c r="R35" s="313"/>
      <c r="S35" s="1202"/>
      <c r="T35" s="300"/>
      <c r="U35" s="300"/>
      <c r="V35" s="260"/>
      <c r="W35" s="260"/>
      <c r="X35" s="260"/>
      <c r="Y35" s="260"/>
      <c r="Z35" s="260"/>
      <c r="AA35" s="260"/>
      <c r="AB35" s="260"/>
      <c r="AC35" s="260"/>
      <c r="AD35" s="260"/>
      <c r="AE35" s="260"/>
      <c r="AF35" s="260"/>
      <c r="AG35" s="260"/>
      <c r="AH35" s="260"/>
      <c r="AI35" s="260"/>
      <c r="AJ35" s="260"/>
      <c r="AK35" s="260"/>
      <c r="AL35" s="260"/>
      <c r="AM35" s="260"/>
      <c r="AN35" s="260"/>
      <c r="AO35" s="260"/>
      <c r="AP35" s="260"/>
      <c r="AQ35" s="260"/>
      <c r="AR35" s="260"/>
      <c r="AS35" s="260"/>
      <c r="AT35" s="260"/>
      <c r="AU35" s="260"/>
      <c r="AV35" s="260"/>
      <c r="AW35" s="260"/>
      <c r="AX35" s="260"/>
      <c r="AY35" s="260"/>
      <c r="AZ35" s="260"/>
      <c r="BA35" s="260"/>
      <c r="BB35" s="446"/>
      <c r="BI35" s="1082">
        <v>0</v>
      </c>
    </row>
    <row r="36" spans="1:61" s="1778" customFormat="1" ht="18.75" customHeight="1">
      <c r="A36" s="1295"/>
      <c r="B36" s="1295"/>
      <c r="C36" s="1295"/>
      <c r="D36" s="1295"/>
      <c r="E36" s="1295"/>
      <c r="F36" s="1295"/>
      <c r="G36" s="1295"/>
      <c r="H36" s="1295"/>
      <c r="I36" s="1295"/>
      <c r="J36" s="1295"/>
      <c r="K36" s="1295"/>
      <c r="L36" s="1296"/>
      <c r="M36" s="1295"/>
      <c r="N36" s="1295"/>
      <c r="O36" s="1295"/>
      <c r="P36" s="1295"/>
      <c r="Q36" s="1295"/>
      <c r="S36" s="2887" t="s">
        <v>465</v>
      </c>
      <c r="T36" s="2887"/>
      <c r="U36" s="1299"/>
      <c r="V36" s="2888" t="str">
        <f>IF(TITLE_DATE_PR_CHANGE="",IF(TITLE_DATE_PR="","",TITLE_DATE_PR),TITLE_DATE_PR_CHANGE)</f>
        <v>14.11.2024</v>
      </c>
      <c r="W36" s="2888"/>
      <c r="X36" s="2888"/>
      <c r="Y36" s="2888"/>
      <c r="Z36" s="2888"/>
      <c r="AA36" s="2888"/>
      <c r="AB36" s="2888"/>
      <c r="AC36" s="264"/>
      <c r="AD36" s="2888" t="str">
        <f>IF(TITLE_DATE_PR_CHANGE="",IF(TITLE_DATE_PR="","",TITLE_DATE_PR),TITLE_DATE_PR_CHANGE)</f>
        <v>14.11.2024</v>
      </c>
      <c r="AE36" s="2888"/>
      <c r="AF36" s="2888"/>
      <c r="AG36" s="2888"/>
      <c r="AH36" s="2888"/>
      <c r="AI36" s="2888"/>
      <c r="AJ36" s="2888"/>
      <c r="AK36" s="2888"/>
      <c r="AL36" s="2888"/>
      <c r="AM36" s="2888"/>
      <c r="AN36" s="2888"/>
      <c r="AO36" s="2888"/>
      <c r="AP36" s="2888"/>
      <c r="AQ36" s="2888"/>
      <c r="AR36" s="2888"/>
      <c r="AS36" s="2888"/>
      <c r="AT36" s="2888"/>
      <c r="AU36" s="2888"/>
      <c r="AV36" s="2888"/>
      <c r="AW36" s="2888"/>
      <c r="AX36" s="2888"/>
      <c r="AY36" s="2888"/>
      <c r="AZ36" s="2888"/>
      <c r="BA36" s="264"/>
      <c r="BB36" s="264"/>
      <c r="BC36" s="218"/>
      <c r="BD36" s="305"/>
      <c r="BE36" s="305"/>
      <c r="BF36" s="305"/>
      <c r="BG36" s="305"/>
      <c r="BH36" s="305"/>
      <c r="BI36" s="355">
        <v>0</v>
      </c>
    </row>
    <row r="37" spans="1:61" s="1778" customFormat="1" ht="18.75" customHeight="1">
      <c r="A37" s="1295"/>
      <c r="B37" s="1295"/>
      <c r="C37" s="1295"/>
      <c r="D37" s="1295"/>
      <c r="E37" s="1295"/>
      <c r="F37" s="1295"/>
      <c r="G37" s="1295"/>
      <c r="H37" s="1295"/>
      <c r="I37" s="1295"/>
      <c r="J37" s="1295"/>
      <c r="K37" s="1295"/>
      <c r="L37" s="1296"/>
      <c r="M37" s="1295"/>
      <c r="N37" s="1295"/>
      <c r="O37" s="1295"/>
      <c r="P37" s="1295"/>
      <c r="Q37" s="1295"/>
      <c r="S37" s="2887" t="s">
        <v>466</v>
      </c>
      <c r="T37" s="2887"/>
      <c r="U37" s="1299"/>
      <c r="V37" s="2889" t="str">
        <f>IF(TITLE_NUMBER_PR_CHANGE="",IF(TITLE_NUMBER_PR="","",TITLE_NUMBER_PR),TITLE_NUMBER_PR_CHANGE)</f>
        <v>947 от 12.11.2024</v>
      </c>
      <c r="W37" s="2889"/>
      <c r="X37" s="2889"/>
      <c r="Y37" s="2889"/>
      <c r="Z37" s="2889"/>
      <c r="AA37" s="2889"/>
      <c r="AB37" s="2889"/>
      <c r="AC37" s="264"/>
      <c r="AD37" s="2889" t="str">
        <f>IF(TITLE_NUMBER_PR_CHANGE="",IF(TITLE_NUMBER_PR="","",TITLE_NUMBER_PR),TITLE_NUMBER_PR_CHANGE)</f>
        <v>947 от 12.11.2024</v>
      </c>
      <c r="AE37" s="2889"/>
      <c r="AF37" s="2889"/>
      <c r="AG37" s="2889"/>
      <c r="AH37" s="2889"/>
      <c r="AI37" s="2889"/>
      <c r="AJ37" s="2889"/>
      <c r="AK37" s="2889"/>
      <c r="AL37" s="2889"/>
      <c r="AM37" s="2889"/>
      <c r="AN37" s="2889"/>
      <c r="AO37" s="2889"/>
      <c r="AP37" s="2889"/>
      <c r="AQ37" s="2889"/>
      <c r="AR37" s="2889"/>
      <c r="AS37" s="2889"/>
      <c r="AT37" s="2889"/>
      <c r="AU37" s="2889"/>
      <c r="AV37" s="2889"/>
      <c r="AW37" s="2889"/>
      <c r="AX37" s="2889"/>
      <c r="AY37" s="2889"/>
      <c r="AZ37" s="2889"/>
      <c r="BA37" s="264"/>
      <c r="BB37" s="264"/>
      <c r="BC37" s="218"/>
      <c r="BD37" s="305"/>
      <c r="BE37" s="305"/>
      <c r="BF37" s="305"/>
      <c r="BG37" s="305"/>
      <c r="BH37" s="305"/>
      <c r="BI37" s="355">
        <v>0</v>
      </c>
    </row>
    <row r="38" spans="1:61" s="1778" customFormat="1" ht="0" hidden="1" customHeight="1">
      <c r="A38" s="1295"/>
      <c r="B38" s="1295"/>
      <c r="C38" s="1295"/>
      <c r="D38" s="1295"/>
      <c r="E38" s="1295"/>
      <c r="F38" s="1295"/>
      <c r="G38" s="1295"/>
      <c r="H38" s="1295"/>
      <c r="I38" s="1295"/>
      <c r="J38" s="1295"/>
      <c r="K38" s="1295"/>
      <c r="L38" s="1296"/>
      <c r="M38" s="1295"/>
      <c r="N38" s="1295"/>
      <c r="O38" s="1295"/>
      <c r="P38" s="1295"/>
      <c r="Q38" s="1295"/>
      <c r="S38" s="261"/>
      <c r="T38" s="261"/>
      <c r="U38" s="1415"/>
      <c r="V38" s="264"/>
      <c r="W38" s="264"/>
      <c r="X38" s="264"/>
      <c r="Y38" s="264"/>
      <c r="Z38" s="264"/>
      <c r="AA38" s="264"/>
      <c r="AB38" s="264"/>
      <c r="AC38" s="216" t="s">
        <v>469</v>
      </c>
      <c r="AD38" s="264"/>
      <c r="AE38" s="264"/>
      <c r="AF38" s="264"/>
      <c r="AG38" s="264"/>
      <c r="AH38" s="264"/>
      <c r="AI38" s="264"/>
      <c r="AJ38" s="264"/>
      <c r="AK38" s="264"/>
      <c r="AL38" s="264"/>
      <c r="AM38" s="264"/>
      <c r="AN38" s="264"/>
      <c r="AO38" s="264"/>
      <c r="AP38" s="264"/>
      <c r="AQ38" s="264"/>
      <c r="AR38" s="264"/>
      <c r="AS38" s="264"/>
      <c r="AT38" s="264"/>
      <c r="AU38" s="264"/>
      <c r="AV38" s="264"/>
      <c r="AW38" s="264"/>
      <c r="AX38" s="264"/>
      <c r="AY38" s="264"/>
      <c r="AZ38" s="264"/>
      <c r="BA38" s="216" t="s">
        <v>469</v>
      </c>
      <c r="BD38" s="305"/>
      <c r="BE38" s="305"/>
      <c r="BF38" s="305"/>
      <c r="BG38" s="305"/>
      <c r="BH38" s="305"/>
      <c r="BI38" s="355">
        <v>0</v>
      </c>
    </row>
    <row r="39" spans="1:61" ht="15" customHeight="1">
      <c r="Q39" s="229"/>
      <c r="R39" s="313"/>
      <c r="S39" s="1202"/>
      <c r="T39" s="300"/>
      <c r="U39" s="1171"/>
      <c r="V39" s="2908"/>
      <c r="W39" s="2908"/>
      <c r="X39" s="2908"/>
      <c r="Y39" s="2908"/>
      <c r="Z39" s="2908"/>
      <c r="AA39" s="2908"/>
      <c r="AB39" s="2908"/>
      <c r="AC39" s="2908"/>
      <c r="AD39" s="2908"/>
      <c r="AE39" s="2908"/>
      <c r="AF39" s="2908"/>
      <c r="AG39" s="2908"/>
      <c r="AH39" s="2908"/>
      <c r="AI39" s="2908"/>
      <c r="AJ39" s="2908"/>
      <c r="AK39" s="2908"/>
      <c r="AL39" s="2908"/>
      <c r="AM39" s="2908"/>
      <c r="AN39" s="2908"/>
      <c r="AO39" s="2908"/>
      <c r="AP39" s="2908"/>
      <c r="AQ39" s="2908"/>
      <c r="AR39" s="2908"/>
      <c r="AS39" s="2908"/>
      <c r="AT39" s="2908"/>
      <c r="AU39" s="2908"/>
      <c r="AV39" s="2908"/>
      <c r="AW39" s="2908"/>
      <c r="AX39" s="2908"/>
      <c r="AY39" s="2908"/>
      <c r="AZ39" s="2908"/>
      <c r="BA39" s="2908"/>
      <c r="BI39" s="1082">
        <v>14</v>
      </c>
    </row>
    <row r="40" spans="1:61" ht="15" customHeight="1">
      <c r="Q40" s="229"/>
      <c r="R40" s="313"/>
      <c r="S40" s="2758" t="s">
        <v>345</v>
      </c>
      <c r="T40" s="2758"/>
      <c r="U40" s="2758"/>
      <c r="V40" s="2758"/>
      <c r="W40" s="2758"/>
      <c r="X40" s="2758"/>
      <c r="Y40" s="2758"/>
      <c r="Z40" s="2758"/>
      <c r="AA40" s="2758"/>
      <c r="AB40" s="2758"/>
      <c r="AC40" s="2758"/>
      <c r="AD40" s="2758"/>
      <c r="AE40" s="2758"/>
      <c r="AF40" s="2758"/>
      <c r="AG40" s="2758"/>
      <c r="AH40" s="2758"/>
      <c r="AI40" s="2758"/>
      <c r="AJ40" s="2758"/>
      <c r="AK40" s="2758"/>
      <c r="AL40" s="2758"/>
      <c r="AM40" s="2758"/>
      <c r="AN40" s="2758"/>
      <c r="AO40" s="2758"/>
      <c r="AP40" s="2758"/>
      <c r="AQ40" s="2758"/>
      <c r="AR40" s="2758"/>
      <c r="AS40" s="2758"/>
      <c r="AT40" s="2758"/>
      <c r="AU40" s="2758"/>
      <c r="AV40" s="2758"/>
      <c r="AW40" s="2758"/>
      <c r="AX40" s="2758"/>
      <c r="AY40" s="2758"/>
      <c r="AZ40" s="2758"/>
      <c r="BA40" s="2758"/>
      <c r="BB40" s="2758"/>
      <c r="BC40" s="2758" t="s">
        <v>346</v>
      </c>
      <c r="BI40" s="1082">
        <v>14</v>
      </c>
    </row>
    <row r="41" spans="1:61" ht="15" customHeight="1">
      <c r="Q41" s="229"/>
      <c r="R41" s="313"/>
      <c r="S41" s="2909" t="s">
        <v>93</v>
      </c>
      <c r="T41" s="2857" t="s">
        <v>553</v>
      </c>
      <c r="U41" s="239"/>
      <c r="V41" s="2910" t="s">
        <v>471</v>
      </c>
      <c r="W41" s="2911"/>
      <c r="X41" s="2911"/>
      <c r="Y41" s="2911"/>
      <c r="Z41" s="2911"/>
      <c r="AA41" s="2911"/>
      <c r="AB41" s="2912"/>
      <c r="AC41" s="2913" t="s">
        <v>472</v>
      </c>
      <c r="AD41" s="2943" t="s">
        <v>554</v>
      </c>
      <c r="AE41" s="2927"/>
      <c r="AF41" s="2927"/>
      <c r="AG41" s="2944"/>
      <c r="AH41" s="2943" t="s">
        <v>555</v>
      </c>
      <c r="AI41" s="2927"/>
      <c r="AJ41" s="2927"/>
      <c r="AK41" s="2944"/>
      <c r="AL41" s="2943" t="s">
        <v>556</v>
      </c>
      <c r="AM41" s="2927"/>
      <c r="AN41" s="2927"/>
      <c r="AO41" s="2944"/>
      <c r="AP41" s="2943" t="s">
        <v>557</v>
      </c>
      <c r="AQ41" s="2927"/>
      <c r="AR41" s="2927"/>
      <c r="AS41" s="2944"/>
      <c r="AT41" s="2910" t="s">
        <v>471</v>
      </c>
      <c r="AU41" s="2911"/>
      <c r="AV41" s="2911"/>
      <c r="AW41" s="2911"/>
      <c r="AX41" s="2911"/>
      <c r="AY41" s="2911"/>
      <c r="AZ41" s="2912"/>
      <c r="BA41" s="2913" t="s">
        <v>472</v>
      </c>
      <c r="BB41" s="2916" t="s">
        <v>474</v>
      </c>
      <c r="BC41" s="2758"/>
      <c r="BI41" s="1082">
        <v>14</v>
      </c>
    </row>
    <row r="42" spans="1:61" ht="36" customHeight="1">
      <c r="Q42" s="229"/>
      <c r="R42" s="313"/>
      <c r="S42" s="2909"/>
      <c r="T42" s="2857"/>
      <c r="U42" s="961"/>
      <c r="V42" s="2830" t="s">
        <v>558</v>
      </c>
      <c r="W42" s="2831"/>
      <c r="X42" s="2830" t="s">
        <v>559</v>
      </c>
      <c r="Y42" s="2831"/>
      <c r="Z42" s="2830" t="s">
        <v>560</v>
      </c>
      <c r="AA42" s="2939"/>
      <c r="AB42" s="2831"/>
      <c r="AC42" s="2914"/>
      <c r="AD42" s="2945"/>
      <c r="AE42" s="2946"/>
      <c r="AF42" s="2946"/>
      <c r="AG42" s="2958"/>
      <c r="AH42" s="2945"/>
      <c r="AI42" s="2946"/>
      <c r="AJ42" s="2946"/>
      <c r="AK42" s="2958"/>
      <c r="AL42" s="2945"/>
      <c r="AM42" s="2946"/>
      <c r="AN42" s="2946"/>
      <c r="AO42" s="2958"/>
      <c r="AP42" s="2945"/>
      <c r="AQ42" s="2946"/>
      <c r="AR42" s="2946"/>
      <c r="AS42" s="2958"/>
      <c r="AT42" s="2830" t="s">
        <v>558</v>
      </c>
      <c r="AU42" s="2831"/>
      <c r="AV42" s="2830" t="s">
        <v>559</v>
      </c>
      <c r="AW42" s="2831"/>
      <c r="AX42" s="2830" t="s">
        <v>560</v>
      </c>
      <c r="AY42" s="2939"/>
      <c r="AZ42" s="2831"/>
      <c r="BA42" s="2914"/>
      <c r="BB42" s="2917"/>
      <c r="BC42" s="2758"/>
      <c r="BI42" s="1082">
        <v>34</v>
      </c>
    </row>
    <row r="43" spans="1:61" ht="15" customHeight="1">
      <c r="Q43" s="229"/>
      <c r="R43" s="313"/>
      <c r="S43" s="2909"/>
      <c r="T43" s="2857"/>
      <c r="U43" s="961"/>
      <c r="V43" s="2835"/>
      <c r="W43" s="2836"/>
      <c r="X43" s="2835"/>
      <c r="Y43" s="2836"/>
      <c r="Z43" s="2835"/>
      <c r="AA43" s="2940"/>
      <c r="AB43" s="2836"/>
      <c r="AC43" s="2914"/>
      <c r="AD43" s="2945"/>
      <c r="AE43" s="2946"/>
      <c r="AF43" s="2946"/>
      <c r="AG43" s="2958"/>
      <c r="AH43" s="2945"/>
      <c r="AI43" s="2946"/>
      <c r="AJ43" s="2946"/>
      <c r="AK43" s="2958"/>
      <c r="AL43" s="2945"/>
      <c r="AM43" s="2946"/>
      <c r="AN43" s="2946"/>
      <c r="AO43" s="2958"/>
      <c r="AP43" s="2945"/>
      <c r="AQ43" s="2946"/>
      <c r="AR43" s="2946"/>
      <c r="AS43" s="2958"/>
      <c r="AT43" s="2835"/>
      <c r="AU43" s="2836"/>
      <c r="AV43" s="2835"/>
      <c r="AW43" s="2836"/>
      <c r="AX43" s="2835"/>
      <c r="AY43" s="2940"/>
      <c r="AZ43" s="2836"/>
      <c r="BA43" s="2914"/>
      <c r="BB43" s="2917"/>
      <c r="BC43" s="2758"/>
      <c r="BI43" s="1082">
        <v>14</v>
      </c>
    </row>
    <row r="44" spans="1:61" ht="15" customHeight="1">
      <c r="A44" s="1297"/>
      <c r="B44" s="1297" t="s">
        <v>140</v>
      </c>
      <c r="C44" s="1297" t="s">
        <v>141</v>
      </c>
      <c r="D44" s="1297" t="s">
        <v>142</v>
      </c>
      <c r="E44" s="1291" t="s">
        <v>479</v>
      </c>
      <c r="F44" s="1291" t="s">
        <v>480</v>
      </c>
      <c r="G44" s="1291" t="s">
        <v>481</v>
      </c>
      <c r="H44" s="1291" t="s">
        <v>482</v>
      </c>
      <c r="I44" s="1291" t="s">
        <v>483</v>
      </c>
      <c r="J44" s="1291" t="s">
        <v>484</v>
      </c>
      <c r="K44" s="1291" t="s">
        <v>485</v>
      </c>
      <c r="L44" s="1291" t="s">
        <v>460</v>
      </c>
      <c r="Q44" s="229"/>
      <c r="R44" s="313"/>
      <c r="S44" s="2909"/>
      <c r="T44" s="2857"/>
      <c r="U44" s="240"/>
      <c r="V44" s="1406" t="s">
        <v>524</v>
      </c>
      <c r="W44" s="1406" t="s">
        <v>525</v>
      </c>
      <c r="X44" s="1406" t="s">
        <v>524</v>
      </c>
      <c r="Y44" s="1406" t="s">
        <v>525</v>
      </c>
      <c r="Z44" s="1416" t="s">
        <v>488</v>
      </c>
      <c r="AA44" s="2862" t="s">
        <v>489</v>
      </c>
      <c r="AB44" s="2876"/>
      <c r="AC44" s="2915"/>
      <c r="AD44" s="2947"/>
      <c r="AE44" s="2948"/>
      <c r="AF44" s="2948"/>
      <c r="AG44" s="2949"/>
      <c r="AH44" s="2947"/>
      <c r="AI44" s="2948"/>
      <c r="AJ44" s="2948"/>
      <c r="AK44" s="2949"/>
      <c r="AL44" s="2947"/>
      <c r="AM44" s="2948"/>
      <c r="AN44" s="2948"/>
      <c r="AO44" s="2949"/>
      <c r="AP44" s="2947"/>
      <c r="AQ44" s="2948"/>
      <c r="AR44" s="2948"/>
      <c r="AS44" s="2949"/>
      <c r="AT44" s="1406" t="s">
        <v>524</v>
      </c>
      <c r="AU44" s="1406" t="s">
        <v>525</v>
      </c>
      <c r="AV44" s="1406" t="s">
        <v>524</v>
      </c>
      <c r="AW44" s="1406" t="s">
        <v>525</v>
      </c>
      <c r="AX44" s="1416" t="s">
        <v>488</v>
      </c>
      <c r="AY44" s="2862" t="s">
        <v>489</v>
      </c>
      <c r="AZ44" s="2876"/>
      <c r="BA44" s="2915"/>
      <c r="BB44" s="2918"/>
      <c r="BC44" s="2758"/>
      <c r="BI44" s="1082">
        <v>14</v>
      </c>
    </row>
    <row r="45" spans="1:61" s="1568" customFormat="1" ht="0" hidden="1" customHeight="1">
      <c r="A45" s="1297"/>
      <c r="B45" s="1297"/>
      <c r="C45" s="1297"/>
      <c r="D45" s="1297"/>
      <c r="E45" s="1297"/>
      <c r="F45" s="1297"/>
      <c r="G45" s="1297"/>
      <c r="H45" s="1297"/>
      <c r="I45" s="1297"/>
      <c r="J45" s="1297"/>
      <c r="K45" s="1297"/>
      <c r="L45" s="1291"/>
      <c r="M45" s="1289"/>
      <c r="N45" s="1289"/>
      <c r="O45" s="1289"/>
      <c r="P45" s="447"/>
      <c r="Q45" s="1181"/>
      <c r="R45" s="1181">
        <v>1</v>
      </c>
      <c r="S45" s="1204" t="s">
        <v>114</v>
      </c>
      <c r="T45" s="1182" t="s">
        <v>115</v>
      </c>
      <c r="U45" s="1172" t="str">
        <f ca="1">OFFSET(U45,0,-1)</f>
        <v>2</v>
      </c>
      <c r="V45" s="1409">
        <f t="shared" ref="V45:AA45" ca="1" si="2">OFFSET(V45,0,-1)+1</f>
        <v>3</v>
      </c>
      <c r="W45" s="1409">
        <f t="shared" ca="1" si="2"/>
        <v>4</v>
      </c>
      <c r="X45" s="1409">
        <f t="shared" ca="1" si="2"/>
        <v>5</v>
      </c>
      <c r="Y45" s="1409">
        <f t="shared" ca="1" si="2"/>
        <v>6</v>
      </c>
      <c r="Z45" s="1409">
        <f t="shared" ca="1" si="2"/>
        <v>7</v>
      </c>
      <c r="AA45" s="2907">
        <f t="shared" ca="1" si="2"/>
        <v>8</v>
      </c>
      <c r="AB45" s="2907"/>
      <c r="AC45" s="1409">
        <f ca="1">OFFSET(AC45,0,-2)+1</f>
        <v>9</v>
      </c>
      <c r="AD45" s="1409">
        <f ca="1">OFFSET(AD45,0,-1)+1</f>
        <v>10</v>
      </c>
      <c r="AE45" s="1409"/>
      <c r="AF45" s="1409"/>
      <c r="AG45" s="1409"/>
      <c r="AH45" s="1409"/>
      <c r="AI45" s="1409"/>
      <c r="AJ45" s="1409"/>
      <c r="AK45" s="1409"/>
      <c r="AL45" s="1409"/>
      <c r="AM45" s="1409"/>
      <c r="AN45" s="1409"/>
      <c r="AO45" s="1409"/>
      <c r="AP45" s="1409"/>
      <c r="AQ45" s="1409"/>
      <c r="AR45" s="1409"/>
      <c r="AS45" s="1409"/>
      <c r="AT45" s="1409"/>
      <c r="AU45" s="1409"/>
      <c r="AV45" s="1409"/>
      <c r="AW45" s="1409">
        <f ca="1">OFFSET(AW45,0,-1)+1</f>
        <v>1</v>
      </c>
      <c r="AX45" s="1409">
        <f ca="1">OFFSET(AX45,0,-1)+1</f>
        <v>2</v>
      </c>
      <c r="AY45" s="2907">
        <f ca="1">OFFSET(AY45,0,-1)+1</f>
        <v>3</v>
      </c>
      <c r="AZ45" s="2907"/>
      <c r="BA45" s="1409">
        <f ca="1">OFFSET(BA45,0,-2)+1</f>
        <v>4</v>
      </c>
      <c r="BB45" s="1172">
        <f ca="1">OFFSET(BB45,0,-1)</f>
        <v>4</v>
      </c>
      <c r="BC45" s="1409">
        <f ca="1">OFFSET(BC45,0,-1)+1</f>
        <v>5</v>
      </c>
      <c r="BD45" s="448"/>
      <c r="BE45" s="448"/>
      <c r="BF45" s="448"/>
      <c r="BG45" s="448"/>
      <c r="BH45" s="448"/>
      <c r="BI45" s="433">
        <v>0</v>
      </c>
    </row>
    <row r="46" spans="1:61" ht="21.75" customHeight="1">
      <c r="A46" s="1290" t="s">
        <v>306</v>
      </c>
      <c r="B46" s="1290"/>
      <c r="C46" s="1290"/>
      <c r="D46" s="1290"/>
      <c r="E46" s="2896">
        <v>1</v>
      </c>
      <c r="F46" s="1290"/>
      <c r="G46" s="1290"/>
      <c r="H46" s="1290"/>
      <c r="I46" s="1290"/>
      <c r="J46" s="1290"/>
      <c r="K46" s="1290"/>
      <c r="L46" s="1291"/>
      <c r="M46" s="1292"/>
      <c r="N46" s="1292"/>
      <c r="O46" s="1292"/>
      <c r="P46" s="1336"/>
      <c r="Q46" s="804"/>
      <c r="R46" s="292"/>
      <c r="S46" s="1420">
        <f>INDEX(PT_DIFFERENTIATION_NUM_NTAR,MATCH(A46,PT_DIFFERENTIATION_NTAR_ID,0))</f>
        <v>0</v>
      </c>
      <c r="T46" s="236" t="s">
        <v>128</v>
      </c>
      <c r="U46" s="238"/>
      <c r="V46" s="2891"/>
      <c r="W46" s="2891"/>
      <c r="X46" s="2891"/>
      <c r="Y46" s="2891"/>
      <c r="Z46" s="2891"/>
      <c r="AA46" s="2891"/>
      <c r="AB46" s="2891"/>
      <c r="AC46" s="2892"/>
      <c r="AD46" s="2890" t="str">
        <f>INDEX(PT_DIFFERENTIATION_NTAR,MATCH(A46,PT_DIFFERENTIATION_NTAR_ID,0))</f>
        <v/>
      </c>
      <c r="AE46" s="2891"/>
      <c r="AF46" s="2891"/>
      <c r="AG46" s="2891"/>
      <c r="AH46" s="2891"/>
      <c r="AI46" s="2891"/>
      <c r="AJ46" s="2891"/>
      <c r="AK46" s="2891"/>
      <c r="AL46" s="2891"/>
      <c r="AM46" s="2891"/>
      <c r="AN46" s="2891"/>
      <c r="AO46" s="2891"/>
      <c r="AP46" s="2891"/>
      <c r="AQ46" s="2891"/>
      <c r="AR46" s="2891"/>
      <c r="AS46" s="2891"/>
      <c r="AT46" s="2891"/>
      <c r="AU46" s="2891"/>
      <c r="AV46" s="2891"/>
      <c r="AW46" s="2891"/>
      <c r="AX46" s="2891"/>
      <c r="AY46" s="2891"/>
      <c r="AZ46" s="2891"/>
      <c r="BA46" s="2891"/>
      <c r="BB46" s="2892"/>
      <c r="BC46" s="1185" t="str">
        <f>"Указывается наименование тарифа в случае "&amp;IF(TEMPLATE_GROUP="P","утверждения нескольких тарифов","подачи предложения по нескольким тарифам")&amp;".
В случае наличия нескольких тарифов информация по ним указывается в отдельных строках."</f>
        <v>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v>
      </c>
      <c r="BE46" s="437"/>
      <c r="BF46" s="437" t="str">
        <f t="shared" ref="BF46:BF52" si="3">IF(T46="","",T46)</f>
        <v>Наименование тарифа</v>
      </c>
      <c r="BG46" s="437"/>
      <c r="BH46" s="437"/>
      <c r="BI46" s="1082">
        <v>21</v>
      </c>
    </row>
    <row r="47" spans="1:61" ht="21.75" customHeight="1">
      <c r="A47" s="1290" t="s">
        <v>306</v>
      </c>
      <c r="B47" s="1290" t="s">
        <v>307</v>
      </c>
      <c r="C47" s="1290"/>
      <c r="D47" s="1290"/>
      <c r="E47" s="2897"/>
      <c r="F47" s="2896">
        <v>1</v>
      </c>
      <c r="G47" s="1290"/>
      <c r="H47" s="1290"/>
      <c r="I47" s="1290"/>
      <c r="J47" s="1290"/>
      <c r="K47" s="1290"/>
      <c r="L47" s="1291"/>
      <c r="M47" s="1292"/>
      <c r="N47" s="1292"/>
      <c r="O47" s="1292"/>
      <c r="P47" s="1337"/>
      <c r="Q47" s="1338"/>
      <c r="R47" s="290"/>
      <c r="S47" s="1420" t="str">
        <f>INDEX(PT_DIFFERENTIATION_NUM_TER,MATCH(B47,PT_DIFFERENTIATION_TER_ID,0))</f>
        <v>.</v>
      </c>
      <c r="T47" s="246" t="s">
        <v>442</v>
      </c>
      <c r="U47" s="238"/>
      <c r="V47" s="2891"/>
      <c r="W47" s="2891"/>
      <c r="X47" s="2891"/>
      <c r="Y47" s="2891"/>
      <c r="Z47" s="2891"/>
      <c r="AA47" s="2891"/>
      <c r="AB47" s="2891"/>
      <c r="AC47" s="2892"/>
      <c r="AD47" s="2890" t="str">
        <f>INDEX(PT_DIFFERENTIATION_TER,MATCH(B47,PT_DIFFERENTIATION_TER_ID,0))</f>
        <v/>
      </c>
      <c r="AE47" s="2891"/>
      <c r="AF47" s="2891"/>
      <c r="AG47" s="2891"/>
      <c r="AH47" s="2891"/>
      <c r="AI47" s="2891"/>
      <c r="AJ47" s="2891"/>
      <c r="AK47" s="2891"/>
      <c r="AL47" s="2891"/>
      <c r="AM47" s="2891"/>
      <c r="AN47" s="2891"/>
      <c r="AO47" s="2891"/>
      <c r="AP47" s="2891"/>
      <c r="AQ47" s="2891"/>
      <c r="AR47" s="2891"/>
      <c r="AS47" s="2891"/>
      <c r="AT47" s="2891"/>
      <c r="AU47" s="2891"/>
      <c r="AV47" s="2891"/>
      <c r="AW47" s="2891"/>
      <c r="AX47" s="2891"/>
      <c r="AY47" s="2891"/>
      <c r="AZ47" s="2891"/>
      <c r="BA47" s="2891"/>
      <c r="BB47" s="2892"/>
      <c r="BC47" s="1185" t="s">
        <v>443</v>
      </c>
      <c r="BE47" s="437"/>
      <c r="BF47" s="437" t="str">
        <f t="shared" si="3"/>
        <v>Территория действия тарифа</v>
      </c>
      <c r="BG47" s="437"/>
      <c r="BH47" s="437"/>
      <c r="BI47" s="1082">
        <v>21</v>
      </c>
    </row>
    <row r="48" spans="1:61" ht="36" customHeight="1">
      <c r="A48" s="1290" t="s">
        <v>306</v>
      </c>
      <c r="B48" s="1290" t="s">
        <v>307</v>
      </c>
      <c r="C48" s="1290" t="s">
        <v>308</v>
      </c>
      <c r="D48" s="1290"/>
      <c r="E48" s="2897"/>
      <c r="F48" s="2897"/>
      <c r="G48" s="2896">
        <v>1</v>
      </c>
      <c r="H48" s="1290"/>
      <c r="I48" s="1290"/>
      <c r="J48" s="1290"/>
      <c r="K48" s="1290"/>
      <c r="L48" s="1291"/>
      <c r="M48" s="1292"/>
      <c r="N48" s="1292"/>
      <c r="O48" s="1292"/>
      <c r="P48" s="1339"/>
      <c r="Q48" s="1338"/>
      <c r="R48" s="290"/>
      <c r="S48" s="1420" t="str">
        <f>INDEX(PT_DIFFERENTIATION_NUM_CS,MATCH(C48,PT_DIFFERENTIATION_CS_ID,0))</f>
        <v>..</v>
      </c>
      <c r="T48" s="247" t="s">
        <v>576</v>
      </c>
      <c r="U48" s="238"/>
      <c r="V48" s="2891"/>
      <c r="W48" s="2891"/>
      <c r="X48" s="2891"/>
      <c r="Y48" s="2891"/>
      <c r="Z48" s="2891"/>
      <c r="AA48" s="2891"/>
      <c r="AB48" s="2891"/>
      <c r="AC48" s="2892"/>
      <c r="AD48" s="2890" t="str">
        <f>INDEX(PT_DIFFERENTIATION_CS,MATCH(C48,PT_DIFFERENTIATION_CS_ID,0))</f>
        <v/>
      </c>
      <c r="AE48" s="2891"/>
      <c r="AF48" s="2891"/>
      <c r="AG48" s="2891"/>
      <c r="AH48" s="2891"/>
      <c r="AI48" s="2891"/>
      <c r="AJ48" s="2891"/>
      <c r="AK48" s="2891"/>
      <c r="AL48" s="2891"/>
      <c r="AM48" s="2891"/>
      <c r="AN48" s="2891"/>
      <c r="AO48" s="2891"/>
      <c r="AP48" s="2891"/>
      <c r="AQ48" s="2891"/>
      <c r="AR48" s="2891"/>
      <c r="AS48" s="2891"/>
      <c r="AT48" s="2891"/>
      <c r="AU48" s="2891"/>
      <c r="AV48" s="2891"/>
      <c r="AW48" s="2891"/>
      <c r="AX48" s="2891"/>
      <c r="AY48" s="2891"/>
      <c r="AZ48" s="2891"/>
      <c r="BA48" s="2891"/>
      <c r="BB48" s="2892"/>
      <c r="BC48" s="1185" t="s">
        <v>577</v>
      </c>
      <c r="BE48" s="437"/>
      <c r="BF48" s="437" t="str">
        <f t="shared" si="3"/>
        <v>Наименование централизованной системы горячего водоснабжения</v>
      </c>
      <c r="BG48" s="437"/>
      <c r="BH48" s="437"/>
      <c r="BI48" s="1082">
        <v>34</v>
      </c>
    </row>
    <row r="49" spans="1:61" s="1569" customFormat="1" ht="0" hidden="1" customHeight="1">
      <c r="A49" s="1270" t="s">
        <v>306</v>
      </c>
      <c r="B49" s="1270" t="s">
        <v>307</v>
      </c>
      <c r="C49" s="1270" t="s">
        <v>308</v>
      </c>
      <c r="D49" s="1270" t="s">
        <v>590</v>
      </c>
      <c r="E49" s="2897"/>
      <c r="F49" s="2897"/>
      <c r="G49" s="2897"/>
      <c r="H49" s="2896">
        <v>1</v>
      </c>
      <c r="I49" s="1270"/>
      <c r="J49" s="1270"/>
      <c r="K49" s="1270"/>
      <c r="L49" s="1273"/>
      <c r="M49" s="1242"/>
      <c r="N49" s="1242"/>
      <c r="O49" s="1242"/>
      <c r="P49" s="1424"/>
      <c r="Q49" s="1425"/>
      <c r="R49" s="294"/>
      <c r="S49" s="972"/>
      <c r="T49" s="1426"/>
      <c r="U49" s="1311"/>
      <c r="V49" s="2929"/>
      <c r="W49" s="2929"/>
      <c r="X49" s="2929"/>
      <c r="Y49" s="2929"/>
      <c r="Z49" s="2929"/>
      <c r="AA49" s="2929"/>
      <c r="AB49" s="2929"/>
      <c r="AC49" s="2930"/>
      <c r="AD49" s="2928"/>
      <c r="AE49" s="2929"/>
      <c r="AF49" s="2929"/>
      <c r="AG49" s="2929"/>
      <c r="AH49" s="2929"/>
      <c r="AI49" s="2929"/>
      <c r="AJ49" s="2929"/>
      <c r="AK49" s="2929"/>
      <c r="AL49" s="2929"/>
      <c r="AM49" s="2929"/>
      <c r="AN49" s="2929"/>
      <c r="AO49" s="2929"/>
      <c r="AP49" s="2929"/>
      <c r="AQ49" s="2929"/>
      <c r="AR49" s="2929"/>
      <c r="AS49" s="2929"/>
      <c r="AT49" s="2929"/>
      <c r="AU49" s="2929"/>
      <c r="AV49" s="2929"/>
      <c r="AW49" s="2929"/>
      <c r="AX49" s="2929"/>
      <c r="AY49" s="2929"/>
      <c r="AZ49" s="2929"/>
      <c r="BA49" s="2929"/>
      <c r="BB49" s="2930"/>
      <c r="BC49" s="1312" t="s">
        <v>447</v>
      </c>
      <c r="BE49" s="437"/>
      <c r="BF49" s="437" t="str">
        <f t="shared" si="3"/>
        <v/>
      </c>
      <c r="BG49" s="437"/>
      <c r="BH49" s="437"/>
      <c r="BI49" s="448">
        <v>0</v>
      </c>
    </row>
    <row r="50" spans="1:61" s="1569" customFormat="1" ht="0" hidden="1" customHeight="1">
      <c r="A50" s="1270" t="s">
        <v>306</v>
      </c>
      <c r="B50" s="1270" t="s">
        <v>307</v>
      </c>
      <c r="C50" s="1270" t="s">
        <v>308</v>
      </c>
      <c r="D50" s="1270" t="s">
        <v>590</v>
      </c>
      <c r="E50" s="2897"/>
      <c r="F50" s="2897"/>
      <c r="G50" s="2897"/>
      <c r="H50" s="2897"/>
      <c r="I50" s="2898" t="str">
        <f>S49&amp;".1"</f>
        <v>.1</v>
      </c>
      <c r="J50" s="1270"/>
      <c r="K50" s="1270"/>
      <c r="L50" s="1273" t="s">
        <v>448</v>
      </c>
      <c r="M50" s="447"/>
      <c r="N50" s="447"/>
      <c r="O50" s="447"/>
      <c r="P50" s="2900">
        <v>1</v>
      </c>
      <c r="Q50" s="1408"/>
      <c r="R50" s="293"/>
      <c r="S50" s="972"/>
      <c r="T50" s="1310"/>
      <c r="U50" s="1311"/>
      <c r="V50" s="2929"/>
      <c r="W50" s="2929"/>
      <c r="X50" s="2929"/>
      <c r="Y50" s="2929"/>
      <c r="Z50" s="2929"/>
      <c r="AA50" s="2929"/>
      <c r="AB50" s="2929"/>
      <c r="AC50" s="2930"/>
      <c r="AD50" s="2928"/>
      <c r="AE50" s="2929"/>
      <c r="AF50" s="2929"/>
      <c r="AG50" s="2929"/>
      <c r="AH50" s="2929"/>
      <c r="AI50" s="2929"/>
      <c r="AJ50" s="2929"/>
      <c r="AK50" s="2929"/>
      <c r="AL50" s="2929"/>
      <c r="AM50" s="2929"/>
      <c r="AN50" s="2929"/>
      <c r="AO50" s="2929"/>
      <c r="AP50" s="2929"/>
      <c r="AQ50" s="2929"/>
      <c r="AR50" s="2929"/>
      <c r="AS50" s="2929"/>
      <c r="AT50" s="2929"/>
      <c r="AU50" s="2929"/>
      <c r="AV50" s="2929"/>
      <c r="AW50" s="2929"/>
      <c r="AX50" s="2929"/>
      <c r="AY50" s="2929"/>
      <c r="AZ50" s="2929"/>
      <c r="BA50" s="2929"/>
      <c r="BB50" s="2930"/>
      <c r="BC50" s="1312"/>
      <c r="BE50" s="437"/>
      <c r="BF50" s="437" t="str">
        <f t="shared" si="3"/>
        <v/>
      </c>
      <c r="BG50" s="437"/>
      <c r="BH50" s="437"/>
      <c r="BI50" s="448">
        <v>0</v>
      </c>
    </row>
    <row r="51" spans="1:61" s="1569" customFormat="1" ht="0" hidden="1" customHeight="1">
      <c r="A51" s="1270" t="s">
        <v>306</v>
      </c>
      <c r="B51" s="1270" t="s">
        <v>307</v>
      </c>
      <c r="C51" s="1270" t="s">
        <v>308</v>
      </c>
      <c r="D51" s="1270" t="s">
        <v>590</v>
      </c>
      <c r="E51" s="2897"/>
      <c r="F51" s="2897"/>
      <c r="G51" s="2897"/>
      <c r="H51" s="2897"/>
      <c r="I51" s="2899"/>
      <c r="J51" s="2898" t="str">
        <f>S49&amp;".1"</f>
        <v>.1</v>
      </c>
      <c r="K51" s="1270"/>
      <c r="L51" s="1273"/>
      <c r="M51" s="447"/>
      <c r="N51" s="447"/>
      <c r="O51" s="447"/>
      <c r="P51" s="2900"/>
      <c r="Q51" s="2900">
        <v>1</v>
      </c>
      <c r="R51" s="294"/>
      <c r="S51" s="972"/>
      <c r="T51" s="1326"/>
      <c r="U51" s="1311"/>
      <c r="V51" s="2929"/>
      <c r="W51" s="2929"/>
      <c r="X51" s="2929"/>
      <c r="Y51" s="2929"/>
      <c r="Z51" s="2929"/>
      <c r="AA51" s="2929"/>
      <c r="AB51" s="2929"/>
      <c r="AC51" s="2930"/>
      <c r="AD51" s="2928"/>
      <c r="AE51" s="2929"/>
      <c r="AF51" s="2929"/>
      <c r="AG51" s="2929"/>
      <c r="AH51" s="2929"/>
      <c r="AI51" s="2929"/>
      <c r="AJ51" s="2929"/>
      <c r="AK51" s="2929"/>
      <c r="AL51" s="2929"/>
      <c r="AM51" s="2929"/>
      <c r="AN51" s="2980"/>
      <c r="AO51" s="2980"/>
      <c r="AP51" s="2929"/>
      <c r="AQ51" s="2929"/>
      <c r="AR51" s="2929"/>
      <c r="AS51" s="2929"/>
      <c r="AT51" s="2929"/>
      <c r="AU51" s="2929"/>
      <c r="AV51" s="2929"/>
      <c r="AW51" s="2929"/>
      <c r="AX51" s="2929"/>
      <c r="AY51" s="2929"/>
      <c r="AZ51" s="2929"/>
      <c r="BA51" s="2929"/>
      <c r="BB51" s="2930"/>
      <c r="BC51" s="1312"/>
      <c r="BE51" s="437"/>
      <c r="BF51" s="437" t="str">
        <f t="shared" si="3"/>
        <v/>
      </c>
      <c r="BG51" s="437"/>
      <c r="BH51" s="437"/>
      <c r="BI51" s="448">
        <v>0</v>
      </c>
    </row>
    <row r="52" spans="1:61" ht="11.25" customHeight="1">
      <c r="A52" s="1290" t="s">
        <v>306</v>
      </c>
      <c r="B52" s="1290" t="s">
        <v>307</v>
      </c>
      <c r="C52" s="1290" t="s">
        <v>308</v>
      </c>
      <c r="D52" s="1290" t="s">
        <v>590</v>
      </c>
      <c r="E52" s="2897"/>
      <c r="F52" s="2897"/>
      <c r="G52" s="2897"/>
      <c r="H52" s="2897"/>
      <c r="I52" s="2899"/>
      <c r="J52" s="2899"/>
      <c r="K52" s="2898" t="str">
        <f>S48&amp;".1"</f>
        <v>...1</v>
      </c>
      <c r="L52" s="1291"/>
      <c r="P52" s="2900"/>
      <c r="Q52" s="2900"/>
      <c r="R52" s="294">
        <v>1</v>
      </c>
      <c r="S52" s="2954" t="str">
        <f>$K52</f>
        <v>...1</v>
      </c>
      <c r="T52" s="2974"/>
      <c r="U52" s="238"/>
      <c r="V52" s="688"/>
      <c r="W52" s="1184"/>
      <c r="X52" s="688"/>
      <c r="Y52" s="1184"/>
      <c r="Z52" s="1660"/>
      <c r="AA52" s="1396" t="s">
        <v>71</v>
      </c>
      <c r="AB52" s="1660"/>
      <c r="AC52" s="1396" t="s">
        <v>71</v>
      </c>
      <c r="AD52" s="2821" t="s">
        <v>71</v>
      </c>
      <c r="AE52" s="2950"/>
      <c r="AF52" s="2853">
        <v>1</v>
      </c>
      <c r="AG52" s="2973"/>
      <c r="AH52" s="2768" t="s">
        <v>71</v>
      </c>
      <c r="AI52" s="2950"/>
      <c r="AJ52" s="2853">
        <v>1</v>
      </c>
      <c r="AK52" s="2964" t="s">
        <v>30</v>
      </c>
      <c r="AL52" s="2768" t="s">
        <v>71</v>
      </c>
      <c r="AM52" s="2830"/>
      <c r="AN52" s="2853">
        <v>1</v>
      </c>
      <c r="AO52" s="2977"/>
      <c r="AP52" s="2978" t="s">
        <v>71</v>
      </c>
      <c r="AQ52" s="249"/>
      <c r="AR52" s="1413">
        <v>1</v>
      </c>
      <c r="AS52" s="1419" t="s">
        <v>30</v>
      </c>
      <c r="AT52" s="688"/>
      <c r="AU52" s="1184"/>
      <c r="AV52" s="688"/>
      <c r="AW52" s="1184"/>
      <c r="AX52" s="1660"/>
      <c r="AY52" s="1396" t="s">
        <v>71</v>
      </c>
      <c r="AZ52" s="1660"/>
      <c r="BA52" s="1396" t="s">
        <v>71</v>
      </c>
      <c r="BB52" s="1275"/>
      <c r="BC52" s="2919" t="s">
        <v>547</v>
      </c>
      <c r="BE52" s="437"/>
      <c r="BF52" s="437" t="str">
        <f t="shared" si="3"/>
        <v/>
      </c>
      <c r="BG52" s="437"/>
      <c r="BH52" s="437"/>
      <c r="BI52" s="1082">
        <v>11</v>
      </c>
    </row>
    <row r="53" spans="1:61" ht="11.25" customHeight="1">
      <c r="A53" s="1290"/>
      <c r="B53" s="1290"/>
      <c r="C53" s="1290"/>
      <c r="D53" s="1290"/>
      <c r="E53" s="2897"/>
      <c r="F53" s="2897"/>
      <c r="G53" s="2897"/>
      <c r="H53" s="2897"/>
      <c r="I53" s="2899"/>
      <c r="J53" s="2899"/>
      <c r="K53" s="2898"/>
      <c r="L53" s="1291"/>
      <c r="P53" s="2900"/>
      <c r="Q53" s="2900"/>
      <c r="R53" s="294"/>
      <c r="S53" s="2955"/>
      <c r="T53" s="2975"/>
      <c r="U53" s="238"/>
      <c r="V53" s="1320"/>
      <c r="W53" s="1423"/>
      <c r="X53" s="1320"/>
      <c r="Y53" s="1423"/>
      <c r="Z53" s="1320"/>
      <c r="AA53" s="1320"/>
      <c r="AB53" s="1320"/>
      <c r="AC53" s="1320"/>
      <c r="AD53" s="2822"/>
      <c r="AE53" s="2950"/>
      <c r="AF53" s="2853"/>
      <c r="AG53" s="2973"/>
      <c r="AH53" s="2768"/>
      <c r="AI53" s="2950"/>
      <c r="AJ53" s="2853"/>
      <c r="AK53" s="2964"/>
      <c r="AL53" s="2768"/>
      <c r="AM53" s="2835"/>
      <c r="AN53" s="2853"/>
      <c r="AO53" s="2977"/>
      <c r="AP53" s="2979"/>
      <c r="AQ53" s="254"/>
      <c r="AR53" s="353"/>
      <c r="AS53" s="353" t="s">
        <v>548</v>
      </c>
      <c r="AT53" s="1320"/>
      <c r="AU53" s="1423"/>
      <c r="AV53" s="1320"/>
      <c r="AW53" s="1423"/>
      <c r="AX53" s="1320"/>
      <c r="AY53" s="1320"/>
      <c r="AZ53" s="1320"/>
      <c r="BA53" s="1320"/>
      <c r="BB53" s="1324"/>
      <c r="BC53" s="2920"/>
      <c r="BE53" s="437"/>
      <c r="BF53" s="437"/>
      <c r="BG53" s="437"/>
      <c r="BH53" s="437"/>
      <c r="BI53" s="1082">
        <v>11</v>
      </c>
    </row>
    <row r="54" spans="1:61" ht="11.25" customHeight="1">
      <c r="A54" s="1290" t="s">
        <v>306</v>
      </c>
      <c r="B54" s="1290"/>
      <c r="C54" s="1290"/>
      <c r="D54" s="1290"/>
      <c r="E54" s="2897"/>
      <c r="F54" s="2897"/>
      <c r="G54" s="2897"/>
      <c r="H54" s="2897"/>
      <c r="I54" s="2899"/>
      <c r="J54" s="2899"/>
      <c r="K54" s="2898"/>
      <c r="L54" s="1291"/>
      <c r="P54" s="2900"/>
      <c r="Q54" s="2900"/>
      <c r="R54" s="294"/>
      <c r="S54" s="2955"/>
      <c r="T54" s="2975"/>
      <c r="U54" s="238"/>
      <c r="V54" s="1320"/>
      <c r="W54" s="1423"/>
      <c r="X54" s="1320"/>
      <c r="Y54" s="1423"/>
      <c r="Z54" s="1320"/>
      <c r="AA54" s="1320"/>
      <c r="AB54" s="1320"/>
      <c r="AC54" s="1320"/>
      <c r="AD54" s="2822"/>
      <c r="AE54" s="2950"/>
      <c r="AF54" s="2853"/>
      <c r="AG54" s="2973"/>
      <c r="AH54" s="2768"/>
      <c r="AI54" s="2950"/>
      <c r="AJ54" s="2853"/>
      <c r="AK54" s="2964"/>
      <c r="AL54" s="2768"/>
      <c r="AM54" s="254"/>
      <c r="AN54" s="1427"/>
      <c r="AO54" s="1427" t="s">
        <v>549</v>
      </c>
      <c r="AP54" s="353"/>
      <c r="AQ54" s="353"/>
      <c r="AR54" s="353"/>
      <c r="AS54" s="1320"/>
      <c r="AT54" s="1320"/>
      <c r="AU54" s="1423"/>
      <c r="AV54" s="1320"/>
      <c r="AW54" s="1423"/>
      <c r="AX54" s="1320"/>
      <c r="AY54" s="1320"/>
      <c r="AZ54" s="1320"/>
      <c r="BA54" s="1320"/>
      <c r="BB54" s="1324"/>
      <c r="BC54" s="2920"/>
      <c r="BE54" s="437"/>
      <c r="BF54" s="437"/>
      <c r="BG54" s="437"/>
      <c r="BH54" s="437"/>
      <c r="BI54" s="1082">
        <v>11</v>
      </c>
    </row>
    <row r="55" spans="1:61" ht="11.25" customHeight="1">
      <c r="A55" s="1290" t="s">
        <v>306</v>
      </c>
      <c r="B55" s="1290"/>
      <c r="C55" s="1290"/>
      <c r="D55" s="1290"/>
      <c r="E55" s="2897"/>
      <c r="F55" s="2897"/>
      <c r="G55" s="2897"/>
      <c r="H55" s="2897"/>
      <c r="I55" s="2899"/>
      <c r="J55" s="2899"/>
      <c r="K55" s="2898"/>
      <c r="L55" s="1291"/>
      <c r="P55" s="2900"/>
      <c r="Q55" s="2900"/>
      <c r="R55" s="294"/>
      <c r="S55" s="2955"/>
      <c r="T55" s="2975"/>
      <c r="U55" s="238"/>
      <c r="V55" s="1320"/>
      <c r="W55" s="1423"/>
      <c r="X55" s="1320"/>
      <c r="Y55" s="1423"/>
      <c r="Z55" s="1320"/>
      <c r="AA55" s="1320"/>
      <c r="AB55" s="1320"/>
      <c r="AC55" s="1320"/>
      <c r="AD55" s="2822"/>
      <c r="AE55" s="2950"/>
      <c r="AF55" s="2853"/>
      <c r="AG55" s="2973"/>
      <c r="AH55" s="2768"/>
      <c r="AI55" s="232"/>
      <c r="AJ55" s="352"/>
      <c r="AK55" s="251" t="s">
        <v>550</v>
      </c>
      <c r="AL55" s="1320"/>
      <c r="AM55" s="1320"/>
      <c r="AN55" s="1320"/>
      <c r="AO55" s="1320"/>
      <c r="AP55" s="1320"/>
      <c r="AQ55" s="1320"/>
      <c r="AR55" s="1320"/>
      <c r="AS55" s="1320"/>
      <c r="AT55" s="1320"/>
      <c r="AU55" s="1423"/>
      <c r="AV55" s="1320"/>
      <c r="AW55" s="1423"/>
      <c r="AX55" s="1320"/>
      <c r="AY55" s="1320"/>
      <c r="AZ55" s="1320"/>
      <c r="BA55" s="1320"/>
      <c r="BB55" s="1324"/>
      <c r="BC55" s="2920"/>
      <c r="BE55" s="437"/>
      <c r="BF55" s="437"/>
      <c r="BG55" s="437"/>
      <c r="BH55" s="437"/>
      <c r="BI55" s="1082">
        <v>11</v>
      </c>
    </row>
    <row r="56" spans="1:61" ht="11.25" customHeight="1">
      <c r="A56" s="1290" t="s">
        <v>306</v>
      </c>
      <c r="B56" s="1290" t="s">
        <v>307</v>
      </c>
      <c r="C56" s="1290" t="s">
        <v>308</v>
      </c>
      <c r="D56" s="1290" t="s">
        <v>590</v>
      </c>
      <c r="E56" s="2897"/>
      <c r="F56" s="2897"/>
      <c r="G56" s="2897"/>
      <c r="H56" s="2897"/>
      <c r="I56" s="2899"/>
      <c r="J56" s="2899"/>
      <c r="K56" s="2898"/>
      <c r="L56" s="1291"/>
      <c r="P56" s="2900"/>
      <c r="Q56" s="2900"/>
      <c r="R56" s="294"/>
      <c r="S56" s="2956"/>
      <c r="T56" s="2976"/>
      <c r="U56" s="238"/>
      <c r="V56" s="1320"/>
      <c r="W56" s="1321" t="str">
        <f>Z52&amp;"-"&amp;AB52</f>
        <v>-</v>
      </c>
      <c r="X56" s="1320"/>
      <c r="Y56" s="1321" t="str">
        <f>AB52&amp;"-"&amp;AD52</f>
        <v>-да</v>
      </c>
      <c r="Z56" s="1320"/>
      <c r="AA56" s="1320"/>
      <c r="AB56" s="1320"/>
      <c r="AC56" s="1320"/>
      <c r="AD56" s="2773"/>
      <c r="AE56" s="250"/>
      <c r="AF56" s="252"/>
      <c r="AG56" s="353" t="s">
        <v>551</v>
      </c>
      <c r="AH56" s="1320"/>
      <c r="AI56" s="1320"/>
      <c r="AJ56" s="1320"/>
      <c r="AK56" s="1320"/>
      <c r="AL56" s="1320"/>
      <c r="AM56" s="1320"/>
      <c r="AN56" s="1320"/>
      <c r="AO56" s="1320"/>
      <c r="AP56" s="1320"/>
      <c r="AQ56" s="1320"/>
      <c r="AR56" s="1320"/>
      <c r="AS56" s="1320"/>
      <c r="AT56" s="1320"/>
      <c r="AU56" s="1321" t="str">
        <f>AX52&amp;"-"&amp;AZ52</f>
        <v>-</v>
      </c>
      <c r="AV56" s="1320"/>
      <c r="AW56" s="1321" t="str">
        <f>AZ52&amp;"-"&amp;BB52</f>
        <v>-</v>
      </c>
      <c r="AX56" s="1320"/>
      <c r="AY56" s="1320"/>
      <c r="AZ56" s="1320"/>
      <c r="BA56" s="1320"/>
      <c r="BB56" s="1323" t="str">
        <f>BE52&amp;"-"&amp;BG52</f>
        <v>-</v>
      </c>
      <c r="BC56" s="2920"/>
      <c r="BE56" s="437"/>
      <c r="BF56" s="437" t="str">
        <f t="shared" ref="BF56:BF63" si="4">IF(T56="","",T56)</f>
        <v/>
      </c>
      <c r="BG56" s="437"/>
      <c r="BH56" s="437"/>
      <c r="BI56" s="1082">
        <v>11</v>
      </c>
    </row>
    <row r="57" spans="1:61" ht="11.25" customHeight="1">
      <c r="A57" s="1290" t="s">
        <v>306</v>
      </c>
      <c r="B57" s="1290" t="s">
        <v>307</v>
      </c>
      <c r="C57" s="1290" t="s">
        <v>308</v>
      </c>
      <c r="D57" s="1290" t="s">
        <v>590</v>
      </c>
      <c r="E57" s="2897"/>
      <c r="F57" s="2897"/>
      <c r="G57" s="2897"/>
      <c r="H57" s="2897"/>
      <c r="I57" s="2899"/>
      <c r="J57" s="2898"/>
      <c r="K57" s="1290"/>
      <c r="L57" s="1291"/>
      <c r="P57" s="2900"/>
      <c r="Q57" s="2900"/>
      <c r="R57" s="293"/>
      <c r="S57" s="1205"/>
      <c r="T57" s="225" t="s">
        <v>514</v>
      </c>
      <c r="U57" s="304"/>
      <c r="V57" s="304"/>
      <c r="W57" s="304"/>
      <c r="X57" s="304"/>
      <c r="Y57" s="304"/>
      <c r="Z57" s="304"/>
      <c r="AA57" s="304"/>
      <c r="AB57" s="304"/>
      <c r="AC57" s="262"/>
      <c r="AD57" s="1432"/>
      <c r="AE57" s="304"/>
      <c r="AF57" s="304"/>
      <c r="AG57" s="304"/>
      <c r="AH57" s="304"/>
      <c r="AI57" s="304"/>
      <c r="AJ57" s="304"/>
      <c r="AK57" s="304"/>
      <c r="AL57" s="304"/>
      <c r="AM57" s="304"/>
      <c r="AN57" s="304"/>
      <c r="AO57" s="304"/>
      <c r="AP57" s="304"/>
      <c r="AQ57" s="304"/>
      <c r="AR57" s="304"/>
      <c r="AS57" s="304"/>
      <c r="AT57" s="304"/>
      <c r="AU57" s="304"/>
      <c r="AV57" s="304"/>
      <c r="AW57" s="304"/>
      <c r="AX57" s="304"/>
      <c r="AY57" s="304"/>
      <c r="AZ57" s="304"/>
      <c r="BA57" s="304"/>
      <c r="BB57" s="262"/>
      <c r="BC57" s="2921"/>
      <c r="BE57" s="437"/>
      <c r="BF57" s="437" t="str">
        <f t="shared" si="4"/>
        <v>Добавить строку</v>
      </c>
      <c r="BG57" s="437"/>
      <c r="BH57" s="437"/>
      <c r="BI57" s="1082">
        <v>11</v>
      </c>
    </row>
    <row r="58" spans="1:61" s="1569" customFormat="1" ht="0" hidden="1" customHeight="1">
      <c r="A58" s="1270" t="s">
        <v>306</v>
      </c>
      <c r="B58" s="1270" t="s">
        <v>307</v>
      </c>
      <c r="C58" s="1270" t="s">
        <v>308</v>
      </c>
      <c r="D58" s="1270" t="s">
        <v>590</v>
      </c>
      <c r="E58" s="2897"/>
      <c r="F58" s="2897"/>
      <c r="G58" s="2897"/>
      <c r="H58" s="2897"/>
      <c r="I58" s="2898"/>
      <c r="J58" s="1270"/>
      <c r="K58" s="1270"/>
      <c r="L58" s="1273"/>
      <c r="M58" s="447"/>
      <c r="N58" s="447"/>
      <c r="O58" s="447"/>
      <c r="P58" s="2900"/>
      <c r="Q58" s="1408"/>
      <c r="R58" s="293"/>
      <c r="S58" s="1313"/>
      <c r="T58" s="1314"/>
      <c r="U58" s="1315"/>
      <c r="V58" s="1315"/>
      <c r="W58" s="1315"/>
      <c r="X58" s="1315"/>
      <c r="Y58" s="1315"/>
      <c r="Z58" s="1315"/>
      <c r="AA58" s="1315"/>
      <c r="AB58" s="1315"/>
      <c r="AC58" s="1315"/>
      <c r="AD58" s="1315"/>
      <c r="AE58" s="1315"/>
      <c r="AF58" s="1315"/>
      <c r="AG58" s="1315"/>
      <c r="AH58" s="1315"/>
      <c r="AI58" s="1315"/>
      <c r="AJ58" s="1315"/>
      <c r="AK58" s="1315"/>
      <c r="AL58" s="1315"/>
      <c r="AM58" s="1315"/>
      <c r="AN58" s="1315"/>
      <c r="AO58" s="1315"/>
      <c r="AP58" s="1315"/>
      <c r="AQ58" s="1315"/>
      <c r="AR58" s="1315"/>
      <c r="AS58" s="1315"/>
      <c r="AT58" s="1315"/>
      <c r="AU58" s="1315"/>
      <c r="AV58" s="1315"/>
      <c r="AW58" s="1315"/>
      <c r="AX58" s="1315"/>
      <c r="AY58" s="1315"/>
      <c r="AZ58" s="1315"/>
      <c r="BA58" s="1315"/>
      <c r="BB58" s="1315"/>
      <c r="BC58" s="1316"/>
      <c r="BE58" s="437"/>
      <c r="BF58" s="437" t="str">
        <f t="shared" si="4"/>
        <v/>
      </c>
      <c r="BG58" s="437"/>
      <c r="BH58" s="437"/>
      <c r="BI58" s="448">
        <v>0</v>
      </c>
    </row>
    <row r="59" spans="1:61" s="1569" customFormat="1" ht="0" hidden="1" customHeight="1">
      <c r="A59" s="1270" t="s">
        <v>306</v>
      </c>
      <c r="B59" s="1270" t="s">
        <v>307</v>
      </c>
      <c r="C59" s="1270" t="s">
        <v>308</v>
      </c>
      <c r="D59" s="1270" t="s">
        <v>590</v>
      </c>
      <c r="E59" s="2897"/>
      <c r="F59" s="2897"/>
      <c r="G59" s="2897"/>
      <c r="H59" s="2896"/>
      <c r="I59" s="1270"/>
      <c r="J59" s="1270"/>
      <c r="K59" s="1270"/>
      <c r="L59" s="1273"/>
      <c r="M59" s="1242"/>
      <c r="N59" s="1242"/>
      <c r="O59" s="455"/>
      <c r="P59" s="317"/>
      <c r="Q59" s="1271"/>
      <c r="R59" s="1328"/>
      <c r="S59" s="1313"/>
      <c r="T59" s="1314"/>
      <c r="U59" s="1315"/>
      <c r="V59" s="1315"/>
      <c r="W59" s="1315"/>
      <c r="X59" s="1315"/>
      <c r="Y59" s="1315"/>
      <c r="Z59" s="1315"/>
      <c r="AA59" s="1315"/>
      <c r="AB59" s="1315"/>
      <c r="AC59" s="1315"/>
      <c r="AD59" s="1315"/>
      <c r="AE59" s="1315"/>
      <c r="AF59" s="1315"/>
      <c r="AG59" s="1315"/>
      <c r="AH59" s="1315"/>
      <c r="AI59" s="1315"/>
      <c r="AJ59" s="1315"/>
      <c r="AK59" s="1315"/>
      <c r="AL59" s="1315"/>
      <c r="AM59" s="1315"/>
      <c r="AN59" s="1315"/>
      <c r="AO59" s="1315"/>
      <c r="AP59" s="1315"/>
      <c r="AQ59" s="1315"/>
      <c r="AR59" s="1315"/>
      <c r="AS59" s="1315"/>
      <c r="AT59" s="1315"/>
      <c r="AU59" s="1315"/>
      <c r="AV59" s="1315"/>
      <c r="AW59" s="1315"/>
      <c r="AX59" s="1315"/>
      <c r="AY59" s="1315"/>
      <c r="AZ59" s="1315"/>
      <c r="BA59" s="1315"/>
      <c r="BB59" s="1315"/>
      <c r="BC59" s="1316"/>
      <c r="BE59" s="437"/>
      <c r="BF59" s="437" t="str">
        <f t="shared" si="4"/>
        <v/>
      </c>
      <c r="BG59" s="437"/>
      <c r="BH59" s="437"/>
      <c r="BI59" s="448">
        <v>0</v>
      </c>
    </row>
    <row r="60" spans="1:61" s="1569" customFormat="1" ht="0" hidden="1" customHeight="1">
      <c r="A60" s="1270" t="s">
        <v>306</v>
      </c>
      <c r="B60" s="1270" t="s">
        <v>307</v>
      </c>
      <c r="C60" s="1270" t="s">
        <v>308</v>
      </c>
      <c r="D60" s="1241"/>
      <c r="E60" s="2897"/>
      <c r="F60" s="2897"/>
      <c r="G60" s="2896"/>
      <c r="H60" s="1241"/>
      <c r="I60" s="1241"/>
      <c r="J60" s="1241"/>
      <c r="K60" s="1241"/>
      <c r="L60" s="1421"/>
      <c r="M60" s="1242"/>
      <c r="N60" s="1242"/>
      <c r="P60" s="1243"/>
      <c r="Q60" s="1244"/>
      <c r="R60" s="1243"/>
      <c r="S60" s="1249"/>
      <c r="T60" s="1252"/>
      <c r="U60" s="1251"/>
      <c r="V60" s="1251"/>
      <c r="W60" s="1251"/>
      <c r="X60" s="1251"/>
      <c r="Y60" s="1251"/>
      <c r="Z60" s="1251"/>
      <c r="AA60" s="1251"/>
      <c r="AB60" s="1251"/>
      <c r="AC60" s="1251"/>
      <c r="AD60" s="1251"/>
      <c r="AE60" s="1251"/>
      <c r="AF60" s="1251"/>
      <c r="AG60" s="1251"/>
      <c r="AH60" s="1251"/>
      <c r="AI60" s="1251"/>
      <c r="AJ60" s="1251"/>
      <c r="AK60" s="1251"/>
      <c r="AL60" s="1251"/>
      <c r="AM60" s="1251"/>
      <c r="AN60" s="1251"/>
      <c r="AO60" s="1251"/>
      <c r="AP60" s="1251"/>
      <c r="AQ60" s="1251"/>
      <c r="AR60" s="1251"/>
      <c r="AS60" s="1251"/>
      <c r="AT60" s="1251"/>
      <c r="AU60" s="1251"/>
      <c r="AV60" s="1251"/>
      <c r="AW60" s="1251"/>
      <c r="AX60" s="1251"/>
      <c r="AY60" s="1251"/>
      <c r="AZ60" s="1251"/>
      <c r="BA60" s="1251"/>
      <c r="BB60" s="1251"/>
      <c r="BC60" s="1251"/>
      <c r="BE60" s="720"/>
      <c r="BF60" s="720" t="str">
        <f t="shared" si="4"/>
        <v/>
      </c>
      <c r="BG60" s="720"/>
      <c r="BH60" s="720"/>
      <c r="BI60" s="455">
        <v>0</v>
      </c>
    </row>
    <row r="61" spans="1:61" s="1569" customFormat="1" ht="0" hidden="1" customHeight="1">
      <c r="A61" s="1270" t="s">
        <v>306</v>
      </c>
      <c r="B61" s="1270" t="s">
        <v>307</v>
      </c>
      <c r="C61" s="1241"/>
      <c r="D61" s="1241"/>
      <c r="E61" s="2897"/>
      <c r="F61" s="2896"/>
      <c r="G61" s="1241"/>
      <c r="H61" s="1241"/>
      <c r="I61" s="1241"/>
      <c r="J61" s="1241"/>
      <c r="K61" s="1241"/>
      <c r="L61" s="1421"/>
      <c r="M61" s="1248"/>
      <c r="N61" s="1248"/>
      <c r="P61" s="1243"/>
      <c r="Q61" s="1244"/>
      <c r="R61" s="1243"/>
      <c r="S61" s="1249"/>
      <c r="T61" s="1252" t="s">
        <v>176</v>
      </c>
      <c r="U61" s="1251"/>
      <c r="V61" s="1251"/>
      <c r="W61" s="1251"/>
      <c r="X61" s="1251"/>
      <c r="Y61" s="1251"/>
      <c r="Z61" s="1251"/>
      <c r="AA61" s="1251"/>
      <c r="AB61" s="1251"/>
      <c r="AC61" s="1251"/>
      <c r="AD61" s="1251"/>
      <c r="AE61" s="1251"/>
      <c r="AF61" s="1251"/>
      <c r="AG61" s="1251"/>
      <c r="AH61" s="1251"/>
      <c r="AI61" s="1251"/>
      <c r="AJ61" s="1251"/>
      <c r="AK61" s="1251"/>
      <c r="AL61" s="1251"/>
      <c r="AM61" s="1251"/>
      <c r="AN61" s="1251"/>
      <c r="AO61" s="1251"/>
      <c r="AP61" s="1251"/>
      <c r="AQ61" s="1251"/>
      <c r="AR61" s="1251"/>
      <c r="AS61" s="1251"/>
      <c r="AT61" s="1251"/>
      <c r="AU61" s="1251"/>
      <c r="AV61" s="1251"/>
      <c r="AW61" s="1251"/>
      <c r="AX61" s="1251"/>
      <c r="AY61" s="1251"/>
      <c r="AZ61" s="1251"/>
      <c r="BA61" s="1251"/>
      <c r="BB61" s="1251"/>
      <c r="BC61" s="1251"/>
      <c r="BE61" s="720"/>
      <c r="BF61" s="720" t="str">
        <f t="shared" si="4"/>
        <v>Добавить централизованную систему для дифференциации</v>
      </c>
      <c r="BG61" s="720"/>
      <c r="BH61" s="720"/>
      <c r="BI61" s="455">
        <v>0</v>
      </c>
    </row>
    <row r="62" spans="1:61" s="1569" customFormat="1" ht="0" hidden="1" customHeight="1">
      <c r="A62" s="1270" t="s">
        <v>306</v>
      </c>
      <c r="B62" s="1270"/>
      <c r="C62" s="1270"/>
      <c r="D62" s="1270"/>
      <c r="E62" s="2896"/>
      <c r="F62" s="1270"/>
      <c r="G62" s="1270"/>
      <c r="H62" s="1270"/>
      <c r="I62" s="1270"/>
      <c r="J62" s="1270"/>
      <c r="K62" s="1270"/>
      <c r="L62" s="1273"/>
      <c r="M62" s="1248"/>
      <c r="N62" s="1248"/>
      <c r="O62" s="455"/>
      <c r="P62" s="317"/>
      <c r="Q62" s="1271"/>
      <c r="R62" s="317"/>
      <c r="S62" s="1249"/>
      <c r="T62" s="1252" t="s">
        <v>178</v>
      </c>
      <c r="U62" s="1251"/>
      <c r="V62" s="1251"/>
      <c r="W62" s="1251"/>
      <c r="X62" s="1251"/>
      <c r="Y62" s="1251"/>
      <c r="Z62" s="1251"/>
      <c r="AA62" s="1251"/>
      <c r="AB62" s="1251"/>
      <c r="AC62" s="1251"/>
      <c r="AD62" s="1251"/>
      <c r="AE62" s="1251"/>
      <c r="AF62" s="1251"/>
      <c r="AG62" s="1251"/>
      <c r="AH62" s="1251"/>
      <c r="AI62" s="1251"/>
      <c r="AJ62" s="1251"/>
      <c r="AK62" s="1251"/>
      <c r="AL62" s="1251"/>
      <c r="AM62" s="1251"/>
      <c r="AN62" s="1251"/>
      <c r="AO62" s="1251"/>
      <c r="AP62" s="1251"/>
      <c r="AQ62" s="1251"/>
      <c r="AR62" s="1251"/>
      <c r="AS62" s="1251"/>
      <c r="AT62" s="1251"/>
      <c r="AU62" s="1251"/>
      <c r="AV62" s="1251"/>
      <c r="AW62" s="1251"/>
      <c r="AX62" s="1251"/>
      <c r="AY62" s="1251"/>
      <c r="AZ62" s="1251"/>
      <c r="BA62" s="1251"/>
      <c r="BB62" s="1251"/>
      <c r="BC62" s="1251"/>
      <c r="BE62" s="437"/>
      <c r="BF62" s="437" t="str">
        <f t="shared" si="4"/>
        <v>Добавить территорию для дифференциации</v>
      </c>
      <c r="BG62" s="437"/>
      <c r="BH62" s="437"/>
      <c r="BI62" s="448">
        <v>0</v>
      </c>
    </row>
    <row r="63" spans="1:61" s="1569" customFormat="1" ht="0" hidden="1" customHeight="1">
      <c r="A63" s="1241"/>
      <c r="B63" s="1241"/>
      <c r="C63" s="1241"/>
      <c r="D63" s="1241"/>
      <c r="E63" s="1270"/>
      <c r="F63" s="1241"/>
      <c r="G63" s="1241"/>
      <c r="H63" s="1241"/>
      <c r="I63" s="1241"/>
      <c r="J63" s="1241"/>
      <c r="K63" s="1241"/>
      <c r="L63" s="1421"/>
      <c r="M63" s="1248"/>
      <c r="N63" s="1248"/>
      <c r="P63" s="1243"/>
      <c r="Q63" s="1244"/>
      <c r="R63" s="1243"/>
      <c r="S63" s="1249"/>
      <c r="T63" s="1252" t="s">
        <v>212</v>
      </c>
      <c r="U63" s="1251"/>
      <c r="V63" s="1251"/>
      <c r="W63" s="1251"/>
      <c r="X63" s="1251"/>
      <c r="Y63" s="1251"/>
      <c r="Z63" s="1251"/>
      <c r="AA63" s="1251"/>
      <c r="AB63" s="1251"/>
      <c r="AC63" s="1251"/>
      <c r="AD63" s="1251"/>
      <c r="AE63" s="1251"/>
      <c r="AF63" s="1251"/>
      <c r="AG63" s="1251"/>
      <c r="AH63" s="1251"/>
      <c r="AI63" s="1251"/>
      <c r="AJ63" s="1251"/>
      <c r="AK63" s="1251"/>
      <c r="AL63" s="1251"/>
      <c r="AM63" s="1251"/>
      <c r="AN63" s="1251"/>
      <c r="AO63" s="1251"/>
      <c r="AP63" s="1251"/>
      <c r="AQ63" s="1251"/>
      <c r="AR63" s="1251"/>
      <c r="AS63" s="1251"/>
      <c r="AT63" s="1251"/>
      <c r="AU63" s="1251"/>
      <c r="AV63" s="1251"/>
      <c r="AW63" s="1251"/>
      <c r="AX63" s="1251"/>
      <c r="AY63" s="1251"/>
      <c r="AZ63" s="1251"/>
      <c r="BA63" s="1251"/>
      <c r="BB63" s="1251"/>
      <c r="BC63" s="1251"/>
      <c r="BE63" s="720"/>
      <c r="BF63" s="720" t="str">
        <f t="shared" si="4"/>
        <v>Добавить наименование тарифа</v>
      </c>
      <c r="BG63" s="720"/>
      <c r="BH63" s="720"/>
      <c r="BI63" s="455">
        <v>0</v>
      </c>
    </row>
    <row r="64" spans="1:61" ht="11.25" customHeight="1">
      <c r="M64" s="1087"/>
      <c r="N64" s="1087"/>
      <c r="O64" s="474"/>
      <c r="P64" s="1087"/>
      <c r="Q64" s="1087"/>
      <c r="R64" s="1082"/>
      <c r="S64" s="1082"/>
      <c r="BD64" s="1082"/>
      <c r="BE64" s="1082"/>
      <c r="BF64" s="1082"/>
      <c r="BG64" s="1082"/>
      <c r="BH64" s="1082"/>
      <c r="BI64" s="1082">
        <v>11</v>
      </c>
    </row>
    <row r="65" spans="1:61" ht="20.25" customHeight="1">
      <c r="O65" s="474"/>
      <c r="S65" s="1180"/>
      <c r="T65" s="2895"/>
      <c r="U65" s="2895"/>
      <c r="V65" s="2895"/>
      <c r="W65" s="2895"/>
      <c r="X65" s="2895"/>
      <c r="Y65" s="2895"/>
      <c r="Z65" s="2895"/>
      <c r="AA65" s="2895"/>
      <c r="AB65" s="2895"/>
      <c r="AC65" s="2895"/>
      <c r="AD65" s="2895"/>
      <c r="AE65" s="2895"/>
      <c r="AF65" s="2895"/>
      <c r="AG65" s="2895"/>
      <c r="AH65" s="2895"/>
      <c r="AI65" s="2895"/>
      <c r="AJ65" s="2895"/>
      <c r="AK65" s="2895"/>
      <c r="AL65" s="2895"/>
      <c r="AM65" s="2895"/>
      <c r="AN65" s="2895"/>
      <c r="AO65" s="2895"/>
      <c r="AP65" s="2895"/>
      <c r="AQ65" s="2895"/>
      <c r="AR65" s="2895"/>
      <c r="AS65" s="2895"/>
      <c r="AT65" s="2895"/>
      <c r="AU65" s="2895"/>
      <c r="AV65" s="2895"/>
      <c r="AW65" s="2895"/>
      <c r="AX65" s="2895"/>
      <c r="AY65" s="2895"/>
      <c r="AZ65" s="2895"/>
      <c r="BA65" s="2895"/>
      <c r="BB65" s="2895"/>
      <c r="BC65" s="2895"/>
      <c r="BI65" s="1082">
        <v>19</v>
      </c>
    </row>
    <row r="66" spans="1:61" ht="15" customHeight="1">
      <c r="O66" s="474"/>
      <c r="T66" s="1407"/>
      <c r="U66" s="1407"/>
      <c r="V66" s="1407"/>
      <c r="W66" s="1407"/>
      <c r="X66" s="1407"/>
      <c r="Y66" s="1407"/>
      <c r="Z66" s="1407"/>
      <c r="AA66" s="1407"/>
      <c r="AB66" s="1407"/>
      <c r="AC66" s="1407"/>
      <c r="AD66" s="1407"/>
      <c r="AE66" s="1407"/>
      <c r="AF66" s="1407"/>
      <c r="AG66" s="1407"/>
      <c r="AH66" s="1407"/>
      <c r="AI66" s="1407"/>
      <c r="AJ66" s="1407"/>
      <c r="AK66" s="1407"/>
      <c r="AL66" s="1407"/>
      <c r="AM66" s="1407"/>
      <c r="AN66" s="1407"/>
      <c r="AO66" s="1407"/>
      <c r="AP66" s="1407"/>
      <c r="AQ66" s="1407"/>
      <c r="AR66" s="1407"/>
      <c r="AS66" s="1407"/>
      <c r="AT66" s="1407"/>
      <c r="AU66" s="1407"/>
      <c r="AV66" s="1407"/>
      <c r="AW66" s="1407"/>
      <c r="AX66" s="1407"/>
      <c r="AY66" s="1407"/>
      <c r="AZ66" s="1407"/>
      <c r="BA66" s="1407"/>
      <c r="BB66" s="1407"/>
      <c r="BC66" s="1407"/>
      <c r="BI66" s="1082">
        <v>14</v>
      </c>
    </row>
    <row r="67" spans="1:61" ht="20.25" customHeight="1">
      <c r="O67" s="474"/>
      <c r="S67" s="1180"/>
      <c r="T67" s="2895"/>
      <c r="U67" s="2895"/>
      <c r="V67" s="2895"/>
      <c r="W67" s="2895"/>
      <c r="X67" s="2895"/>
      <c r="Y67" s="2895"/>
      <c r="Z67" s="2895"/>
      <c r="AA67" s="2895"/>
      <c r="AB67" s="2895"/>
      <c r="AC67" s="2895"/>
      <c r="AD67" s="2895"/>
      <c r="AE67" s="2895"/>
      <c r="AF67" s="2895"/>
      <c r="AG67" s="2895"/>
      <c r="AH67" s="2895"/>
      <c r="AI67" s="2895"/>
      <c r="AJ67" s="2895"/>
      <c r="AK67" s="2895"/>
      <c r="AL67" s="2895"/>
      <c r="AM67" s="2895"/>
      <c r="AN67" s="2895"/>
      <c r="AO67" s="2895"/>
      <c r="AP67" s="2895"/>
      <c r="AQ67" s="2895"/>
      <c r="AR67" s="2895"/>
      <c r="AS67" s="2895"/>
      <c r="AT67" s="2895"/>
      <c r="AU67" s="2895"/>
      <c r="AV67" s="2895"/>
      <c r="AW67" s="2895"/>
      <c r="AX67" s="2895"/>
      <c r="AY67" s="2895"/>
      <c r="AZ67" s="2895"/>
      <c r="BA67" s="2895"/>
      <c r="BB67" s="2895"/>
      <c r="BC67" s="2895"/>
      <c r="BI67" s="1082">
        <v>19</v>
      </c>
    </row>
    <row r="68" spans="1:61" ht="15" customHeight="1">
      <c r="O68" s="474"/>
      <c r="BI68" s="1082">
        <v>14</v>
      </c>
    </row>
    <row r="69" spans="1:61" ht="14.25" hidden="1" customHeight="1">
      <c r="A69" s="1087" t="s">
        <v>87</v>
      </c>
      <c r="B69" s="1087">
        <v>0</v>
      </c>
      <c r="C69" s="1087">
        <v>0</v>
      </c>
      <c r="D69" s="1087">
        <v>0</v>
      </c>
      <c r="E69" s="1087">
        <v>0</v>
      </c>
      <c r="F69" s="1087">
        <v>0</v>
      </c>
      <c r="G69" s="1087">
        <v>0</v>
      </c>
      <c r="H69" s="1087">
        <v>0</v>
      </c>
      <c r="I69" s="1087">
        <v>0</v>
      </c>
      <c r="J69" s="1087">
        <v>0</v>
      </c>
      <c r="K69" s="1087">
        <v>0</v>
      </c>
      <c r="L69" s="1405">
        <v>0</v>
      </c>
      <c r="M69" s="1289">
        <v>0</v>
      </c>
      <c r="N69" s="1289">
        <v>0</v>
      </c>
      <c r="O69" s="1289">
        <v>0</v>
      </c>
      <c r="P69" s="1289">
        <v>0</v>
      </c>
      <c r="Q69" s="1298">
        <v>0</v>
      </c>
      <c r="R69" s="282">
        <v>3</v>
      </c>
      <c r="S69" s="518">
        <v>12</v>
      </c>
      <c r="T69" s="1082">
        <v>31</v>
      </c>
      <c r="U69" s="1082">
        <v>0</v>
      </c>
      <c r="V69" s="1082">
        <v>0</v>
      </c>
      <c r="W69" s="1082">
        <v>0</v>
      </c>
      <c r="X69" s="1082">
        <v>0</v>
      </c>
      <c r="Y69" s="1082">
        <v>0</v>
      </c>
      <c r="Z69" s="1082">
        <v>0</v>
      </c>
      <c r="AA69" s="1082">
        <v>0</v>
      </c>
      <c r="AB69" s="1082">
        <v>0</v>
      </c>
      <c r="AC69" s="1082">
        <v>0</v>
      </c>
      <c r="AD69" s="1082">
        <v>3</v>
      </c>
      <c r="AE69" s="1082">
        <v>3</v>
      </c>
      <c r="AF69" s="1082">
        <v>3</v>
      </c>
      <c r="AG69" s="1082">
        <v>24</v>
      </c>
      <c r="AH69" s="1082">
        <v>3</v>
      </c>
      <c r="AI69" s="1082">
        <v>3</v>
      </c>
      <c r="AJ69" s="1082">
        <v>3</v>
      </c>
      <c r="AK69" s="1082">
        <v>24</v>
      </c>
      <c r="AL69" s="1082">
        <v>3</v>
      </c>
      <c r="AM69" s="1082">
        <v>3</v>
      </c>
      <c r="AN69" s="1082">
        <v>3</v>
      </c>
      <c r="AO69" s="1082">
        <v>18</v>
      </c>
      <c r="AP69" s="1082">
        <v>3</v>
      </c>
      <c r="AQ69" s="1082">
        <v>3</v>
      </c>
      <c r="AR69" s="1082">
        <v>3</v>
      </c>
      <c r="AS69" s="1082">
        <v>18</v>
      </c>
      <c r="AT69" s="1082">
        <v>21</v>
      </c>
      <c r="AU69" s="1082">
        <v>21</v>
      </c>
      <c r="AV69" s="1082">
        <v>21</v>
      </c>
      <c r="AW69" s="1082">
        <v>21</v>
      </c>
      <c r="AX69" s="1082">
        <v>11</v>
      </c>
      <c r="AY69" s="1082">
        <v>3</v>
      </c>
      <c r="AZ69" s="1082">
        <v>11</v>
      </c>
      <c r="BA69" s="1082">
        <v>0</v>
      </c>
      <c r="BB69" s="1082">
        <v>4</v>
      </c>
      <c r="BC69" s="1082">
        <v>115</v>
      </c>
      <c r="BD69" s="448">
        <v>10</v>
      </c>
      <c r="BE69" s="448">
        <v>10</v>
      </c>
      <c r="BF69" s="448">
        <v>10</v>
      </c>
      <c r="BG69" s="448">
        <v>10</v>
      </c>
      <c r="BH69" s="448">
        <v>10</v>
      </c>
      <c r="BI69" s="1082">
        <v>23</v>
      </c>
    </row>
  </sheetData>
  <sheetProtection formatColumns="0" formatRows="0" insertRows="0" deleteColumns="0" deleteRows="0" sort="0" autoFilter="0"/>
  <mergeCells count="122">
    <mergeCell ref="E2:E18"/>
    <mergeCell ref="V2:AC2"/>
    <mergeCell ref="AD2:BB2"/>
    <mergeCell ref="F3:F17"/>
    <mergeCell ref="V3:AC3"/>
    <mergeCell ref="AD3:BB3"/>
    <mergeCell ref="G4:G16"/>
    <mergeCell ref="V4:AC4"/>
    <mergeCell ref="AD4:BB4"/>
    <mergeCell ref="H5:H15"/>
    <mergeCell ref="V5:AC5"/>
    <mergeCell ref="AD5:BB5"/>
    <mergeCell ref="I6:I14"/>
    <mergeCell ref="P6:P14"/>
    <mergeCell ref="V6:AC6"/>
    <mergeCell ref="AD6:BB6"/>
    <mergeCell ref="J7:J13"/>
    <mergeCell ref="Q7:Q13"/>
    <mergeCell ref="V7:AC7"/>
    <mergeCell ref="AD7:BB7"/>
    <mergeCell ref="BC8:BC13"/>
    <mergeCell ref="AF8:AF11"/>
    <mergeCell ref="AG8:AG11"/>
    <mergeCell ref="AH8:AH11"/>
    <mergeCell ref="AI8:AI10"/>
    <mergeCell ref="AJ8:AJ10"/>
    <mergeCell ref="AK8:AK10"/>
    <mergeCell ref="K8:K12"/>
    <mergeCell ref="R8:R12"/>
    <mergeCell ref="S8:S12"/>
    <mergeCell ref="T8:T12"/>
    <mergeCell ref="AD8:AD12"/>
    <mergeCell ref="AE8:AE11"/>
    <mergeCell ref="S28:AZ28"/>
    <mergeCell ref="S29:AZ29"/>
    <mergeCell ref="S31:T31"/>
    <mergeCell ref="V31:AB31"/>
    <mergeCell ref="AD31:AZ31"/>
    <mergeCell ref="S32:T32"/>
    <mergeCell ref="V32:AB32"/>
    <mergeCell ref="AD32:AZ32"/>
    <mergeCell ref="AL8:AL10"/>
    <mergeCell ref="AM8:AM9"/>
    <mergeCell ref="AN8:AN9"/>
    <mergeCell ref="AO8:AO9"/>
    <mergeCell ref="AP8:AP9"/>
    <mergeCell ref="S36:T36"/>
    <mergeCell ref="V36:AB36"/>
    <mergeCell ref="AD36:AZ36"/>
    <mergeCell ref="S37:T37"/>
    <mergeCell ref="V37:AB37"/>
    <mergeCell ref="AD37:AZ37"/>
    <mergeCell ref="S33:T33"/>
    <mergeCell ref="V33:AB33"/>
    <mergeCell ref="AD33:AZ33"/>
    <mergeCell ref="S34:T34"/>
    <mergeCell ref="V34:AB34"/>
    <mergeCell ref="AD34:AZ34"/>
    <mergeCell ref="V39:AC39"/>
    <mergeCell ref="AD39:BA39"/>
    <mergeCell ref="S40:BB40"/>
    <mergeCell ref="BC40:BC44"/>
    <mergeCell ref="S41:S44"/>
    <mergeCell ref="T41:T44"/>
    <mergeCell ref="V41:AB41"/>
    <mergeCell ref="AC41:AC44"/>
    <mergeCell ref="AD41:AG44"/>
    <mergeCell ref="AH41:AK44"/>
    <mergeCell ref="AX42:AZ43"/>
    <mergeCell ref="AA44:AB44"/>
    <mergeCell ref="AY44:AZ44"/>
    <mergeCell ref="AA45:AB45"/>
    <mergeCell ref="AY45:AZ45"/>
    <mergeCell ref="E46:E62"/>
    <mergeCell ref="V46:AC46"/>
    <mergeCell ref="AD46:BB46"/>
    <mergeCell ref="F47:F61"/>
    <mergeCell ref="V47:AC47"/>
    <mergeCell ref="AL41:AO44"/>
    <mergeCell ref="AP41:AS44"/>
    <mergeCell ref="AT41:AZ41"/>
    <mergeCell ref="BA41:BA44"/>
    <mergeCell ref="BB41:BB44"/>
    <mergeCell ref="V42:W43"/>
    <mergeCell ref="X42:Y43"/>
    <mergeCell ref="Z42:AB43"/>
    <mergeCell ref="AT42:AU43"/>
    <mergeCell ref="AV42:AW43"/>
    <mergeCell ref="AD47:BB47"/>
    <mergeCell ref="G48:G60"/>
    <mergeCell ref="V48:AC48"/>
    <mergeCell ref="AD48:BB48"/>
    <mergeCell ref="H49:H59"/>
    <mergeCell ref="V49:AC49"/>
    <mergeCell ref="AD49:BB49"/>
    <mergeCell ref="I50:I58"/>
    <mergeCell ref="P50:P58"/>
    <mergeCell ref="V50:AC50"/>
    <mergeCell ref="AD50:BB50"/>
    <mergeCell ref="J51:J57"/>
    <mergeCell ref="Q51:Q57"/>
    <mergeCell ref="V51:AC51"/>
    <mergeCell ref="AD51:BB51"/>
    <mergeCell ref="K52:K56"/>
    <mergeCell ref="S52:S56"/>
    <mergeCell ref="T52:T56"/>
    <mergeCell ref="AD52:AD56"/>
    <mergeCell ref="AE52:AE55"/>
    <mergeCell ref="T65:BC65"/>
    <mergeCell ref="T67:BC67"/>
    <mergeCell ref="AL52:AL54"/>
    <mergeCell ref="AM52:AM53"/>
    <mergeCell ref="AN52:AN53"/>
    <mergeCell ref="AO52:AO53"/>
    <mergeCell ref="AP52:AP53"/>
    <mergeCell ref="BC52:BC57"/>
    <mergeCell ref="AF52:AF55"/>
    <mergeCell ref="AG52:AG55"/>
    <mergeCell ref="AH52:AH55"/>
    <mergeCell ref="AI52:AI54"/>
    <mergeCell ref="AJ52:AJ54"/>
    <mergeCell ref="AK52:AK54"/>
  </mergeCells>
  <dataValidations count="9">
    <dataValidation type="list" allowBlank="1" showInputMessage="1" showErrorMessage="1" errorTitle="Ошибка" error="Выберите значение из списка" sqref="T65589 T131125 T196661 T262197 T327733 T393269 T458805 T524341 T589877 T655413 T720949 T786485 T852021 T917557 T983093">
      <formula1>kind_of_heat_transfer</formula1>
    </dataValidation>
    <dataValidation type="list" allowBlank="1" showInputMessage="1" showErrorMessage="1" errorTitle="Ошибка" error="Выберите значение из списка" sqref="AD917555:AS917555 AD983091:AS983091 AD65587:AS65587 AD131123:AS131123 AD196659:AS196659 AD262195:AS262195 AD327731:AS327731 AD393267:AS393267 AD458803:AS458803 AD524339:AS524339 AD589875:AS589875 AD655411:AS655411 AD720947:AS720947 AD786483:AS786483 AD852019:AS852019">
      <formula1>kind_of_scheme_in</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Z65589 Z131125 Z196661 Z262197 Z327733 Z393269 Z458805 Z524341 Z589877 Z655413 Z720949 Z786485 Z852021 Z917557 Z983093 AB65589 AB131125 AB196661 AB262197 AB327733 AB393269 AB458805 AB524341 AB589877 AB655413 AB720949 AB786485 AB852021 AB917557 AB983093 Z8 AB8 AX65589 AX131125 AX196661 AX262197 AX327733 AX393269 AX458805 AX524341 AX589877 AX655413 AX720949 AX786485 AX852021 AX917557 AX983093 AZ65589 AZ131125 AZ196661 AZ262197 AZ327733 AZ393269 AZ458805 AZ524341 AZ589877 AZ655413 AZ720949 AZ786485 AZ852021 AZ917557 AZ983093 AX52 AX20 AZ8 AZ52 AX8 AZ20 Z52 AB52"/>
    <dataValidation allowBlank="1" promptTitle="checkPeriodRange" sqref="W131126 W196662 W262198 W327734 W393270 W458806 W524342 W589878 W655414 W720950 W786486 W852022 W917558 W983094 AW56 AU12 BB12 AW65590 AW131126 AW196662 AW262198 AW327734 AW393270 AW458806 AW524342 AW589878 AW655414 AW720950 AW786486 AW852022 AW917558 AW983094 Y65590 Y56 W65590 Y131126 Y196662 Y262198 Y327734 Y393270 Y458806 Y524342 Y589878 Y655414 Y720950 Y786486 Y852022 Y917558 Y983094 AU56 Y12 BB56 W12 AW12 W56"/>
    <dataValidation type="textLength" operator="lessThanOrEqual" allowBlank="1" showInputMessage="1" showErrorMessage="1" errorTitle="Ошибка" error="Допускается ввод не более 900 символов!" sqref="BC65583:BC65590 BC131119:BC131126 BC196655:BC196662 BC262191:BC262198 BC327727:BC327734 BC393263:BC393270 BC458799:BC458806 BC524335:BC524342 BC589871:BC589878 BC655407:BC655414 BC720943:BC720950 BC786479:BC786486 BC852015:BC852022 BC917551:BC917558 BC983087:BC983094 AS8 T8:T12 AS52 T52:T56">
      <formula1>900</formula1>
    </dataValidation>
    <dataValidation allowBlank="1" showInputMessage="1" showErrorMessage="1" prompt="Для выбора выполните двойной щелчок левой клавиши мыши по соответствующей ячейке." sqref="AA65589 AA131125 AA196661 AA262197 AA327733 AA393269 AA458805 AA524341 AA589877 AA655413 AA720949 AA786485 AA852021 AA917557 AA983093 AC131125 AC458805 AC196661 AC262197 AC327733 AC393269 AC524341 AC589877 AC655413 AC720949 AC786485 AC852021 AC917557 AC983093 AC65589 AH52:AH53 AY8 AP52 AK52:AL53 AA8 AY65589 AY131125 AY196661 AY262197 AY327733 AY393269 AY458805 AY524341 AY589877 AY655413 AY720949 AY786485 AY852021 AY917557 AY983093 BA458805 BA196661 BA262197 BA327733 BA393269 BA524341 BA589877 BA655413 BA720949 BA786485 BA852021 BA917557 BA983093 BA65589 BA52 AC8:AD8 BA20 BA8 AY52 AK8:AL9 AD20 AG20:AH20 AK20:AL20 AP20 AY20 AH8:AH9 AP8 BA131125 AC52:AD52 AA52"/>
    <dataValidation type="decimal" allowBlank="1" showErrorMessage="1" errorTitle="Ошибка" error="Допускается ввод только действительных чисел!" sqref="AO52:AO53 AG8:AG11 AO8:AO9 AG52:AG55">
      <formula1>-9.99999999999999E+23</formula1>
      <formula2>9.99999999999999E+23</formula2>
    </dataValidation>
    <dataValidation type="list" allowBlank="1" showInputMessage="1" errorTitle="Ошибка" error="Выберите значение из списка" prompt="Выберите значение из списка" sqref="V983092:BB983092 V917556:BB917556 V852020:BB852020 V786484:BB786484 V720948:BB720948 V655412:BB655412 V589876:BB589876 V524340:BB524340 V458804:BB458804 V393268:BB393268 V327732:BB327732 V262196:BB262196 V196660:BB196660 V131124:BB131124 V65588:BB65588">
      <formula1>kind_of_cons</formula1>
    </dataValidation>
    <dataValidation allowBlank="1" sqref="S65591:BC65597 S983095:BC983101 S917559:BC917565 S852023:BC852029 S786487:BC786493 S720951:BC720957 S655415:BC655421 S589879:BC589885 S524343:BC524349 S458807:BC458813 S393271:BC393277 S327735:BC327741 S262199:BC262205 S196663:BC196669 S131127:BC131133"/>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303"/>
  <sheetViews>
    <sheetView showGridLines="0" zoomScale="90" workbookViewId="0">
      <pane xSplit="8" ySplit="29" topLeftCell="I30" activePane="bottomRight" state="frozen"/>
      <selection pane="topRight" activeCell="I1" sqref="I1"/>
      <selection pane="bottomLeft" activeCell="A30" sqref="A30"/>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7109375"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ht="22.5" hidden="1" customHeight="1">
      <c r="AF1" s="1558" t="s">
        <v>14</v>
      </c>
    </row>
    <row r="2" spans="1:32" ht="23.25" hidden="1" customHeight="1">
      <c r="B2" s="2743"/>
      <c r="C2" s="1094" t="s">
        <v>591</v>
      </c>
      <c r="D2" s="1565"/>
      <c r="E2" s="483">
        <f>B2</f>
        <v>0</v>
      </c>
      <c r="F2" s="484"/>
      <c r="G2" s="1573" t="s">
        <v>592</v>
      </c>
      <c r="H2" s="1573" t="s">
        <v>592</v>
      </c>
      <c r="I2" s="1573" t="s">
        <v>592</v>
      </c>
      <c r="J2" s="227" t="s">
        <v>593</v>
      </c>
      <c r="K2" s="480"/>
      <c r="AF2" s="1558">
        <v>0</v>
      </c>
    </row>
    <row r="3" spans="1:32" s="1569" customFormat="1" ht="0.75" hidden="1" customHeight="1">
      <c r="B3" s="2743"/>
      <c r="C3" s="1094"/>
      <c r="D3" s="485"/>
      <c r="E3" s="486"/>
      <c r="F3" s="487" t="s">
        <v>594</v>
      </c>
      <c r="G3" s="488"/>
      <c r="H3" s="488">
        <f>H4*H5+H7</f>
        <v>0</v>
      </c>
      <c r="I3" s="488">
        <f>I4*I5+I6</f>
        <v>0</v>
      </c>
      <c r="J3" s="489"/>
      <c r="AF3" s="1563">
        <v>0</v>
      </c>
    </row>
    <row r="4" spans="1:32" ht="23.25" hidden="1" customHeight="1">
      <c r="B4" s="2743"/>
      <c r="C4" s="1094"/>
      <c r="D4" s="1565"/>
      <c r="E4" s="483" t="str">
        <f>B2&amp;".1"</f>
        <v>.1</v>
      </c>
      <c r="F4" s="490" t="s">
        <v>595</v>
      </c>
      <c r="G4" s="491"/>
      <c r="H4" s="478"/>
      <c r="I4" s="478"/>
      <c r="J4" s="227" t="s">
        <v>596</v>
      </c>
      <c r="K4" s="480"/>
      <c r="AF4" s="1558">
        <v>0</v>
      </c>
    </row>
    <row r="5" spans="1:32" ht="18.75" hidden="1" customHeight="1">
      <c r="B5" s="2743"/>
      <c r="C5" s="1094"/>
      <c r="D5" s="1565"/>
      <c r="E5" s="483" t="str">
        <f>B2&amp;".2"</f>
        <v>.2</v>
      </c>
      <c r="F5" s="490" t="s">
        <v>597</v>
      </c>
      <c r="G5" s="1573" t="s">
        <v>598</v>
      </c>
      <c r="H5" s="478"/>
      <c r="I5" s="478"/>
      <c r="J5" s="227"/>
      <c r="K5" s="480"/>
      <c r="AF5" s="1558">
        <v>0</v>
      </c>
    </row>
    <row r="6" spans="1:32" ht="18.75" hidden="1" customHeight="1">
      <c r="B6" s="2743"/>
      <c r="C6" s="1094"/>
      <c r="D6" s="1565"/>
      <c r="E6" s="483" t="str">
        <f>B2&amp;".3"</f>
        <v>.3</v>
      </c>
      <c r="F6" s="490" t="s">
        <v>599</v>
      </c>
      <c r="G6" s="1573" t="s">
        <v>598</v>
      </c>
      <c r="H6" s="478"/>
      <c r="I6" s="478"/>
      <c r="J6" s="227"/>
      <c r="K6" s="480"/>
      <c r="AF6" s="1558">
        <v>0</v>
      </c>
    </row>
    <row r="7" spans="1:32" ht="18.75" hidden="1" customHeight="1">
      <c r="B7" s="2743"/>
      <c r="C7" s="1094"/>
      <c r="D7" s="1565"/>
      <c r="E7" s="483" t="str">
        <f>B2&amp;".4"</f>
        <v>.4</v>
      </c>
      <c r="F7" s="490" t="s">
        <v>600</v>
      </c>
      <c r="G7" s="1573" t="s">
        <v>592</v>
      </c>
      <c r="H7" s="492"/>
      <c r="I7" s="492"/>
      <c r="J7" s="227"/>
      <c r="K7" s="480"/>
      <c r="AF7" s="1558">
        <v>0</v>
      </c>
    </row>
    <row r="8" spans="1:32" s="1293" customFormat="1" ht="11.25" hidden="1" customHeight="1">
      <c r="A8" s="917"/>
      <c r="C8" s="1563"/>
      <c r="D8" s="474"/>
      <c r="H8" s="1087">
        <v>4</v>
      </c>
      <c r="I8" s="1087">
        <v>4</v>
      </c>
      <c r="L8" s="1563"/>
      <c r="M8" s="1563"/>
      <c r="R8" s="1563"/>
      <c r="AF8" s="1087">
        <v>0</v>
      </c>
    </row>
    <row r="9" spans="1:32" s="1293" customFormat="1" ht="22.5" hidden="1" customHeight="1">
      <c r="A9" s="917"/>
      <c r="C9" s="1563"/>
      <c r="D9" s="475"/>
      <c r="E9" s="1575"/>
      <c r="F9" s="477"/>
      <c r="G9" s="1573" t="s">
        <v>598</v>
      </c>
      <c r="H9" s="478"/>
      <c r="I9" s="478"/>
      <c r="J9" s="479" t="s">
        <v>601</v>
      </c>
      <c r="K9" s="480"/>
      <c r="L9" s="1563"/>
      <c r="M9" s="1563"/>
      <c r="R9" s="1563"/>
      <c r="U9" s="481"/>
      <c r="AA9" s="1559"/>
      <c r="AB9" s="1559"/>
      <c r="AC9" s="1559"/>
      <c r="AD9" s="1559"/>
      <c r="AE9" s="1559"/>
      <c r="AF9" s="1087">
        <v>0</v>
      </c>
    </row>
    <row r="10" spans="1:32" ht="11.25" hidden="1" customHeight="1">
      <c r="AF10" s="1558">
        <v>0</v>
      </c>
    </row>
    <row r="11" spans="1:32" ht="18.75" hidden="1" customHeight="1">
      <c r="D11" s="1565"/>
      <c r="E11" s="483"/>
      <c r="F11" s="477"/>
      <c r="G11" s="1573" t="s">
        <v>602</v>
      </c>
      <c r="H11" s="478"/>
      <c r="I11" s="478"/>
      <c r="J11" s="227" t="s">
        <v>603</v>
      </c>
      <c r="K11" s="480"/>
      <c r="AF11" s="1558">
        <v>0</v>
      </c>
    </row>
    <row r="12" spans="1:32" ht="11.25" hidden="1" customHeight="1">
      <c r="AF12" s="1558">
        <v>0</v>
      </c>
    </row>
    <row r="13" spans="1:32" ht="22.5" hidden="1" customHeight="1">
      <c r="D13" s="1565"/>
      <c r="E13" s="483"/>
      <c r="F13" s="477"/>
      <c r="G13" s="899" t="s">
        <v>604</v>
      </c>
      <c r="H13" s="482"/>
      <c r="I13" s="482"/>
      <c r="J13" s="682" t="s">
        <v>605</v>
      </c>
      <c r="K13" s="480"/>
      <c r="AF13" s="1558">
        <v>0</v>
      </c>
    </row>
    <row r="14" spans="1:32" ht="11.25" hidden="1" customHeight="1">
      <c r="AF14" s="1558">
        <v>0</v>
      </c>
    </row>
    <row r="15" spans="1:32" ht="22.5" hidden="1" customHeight="1">
      <c r="D15" s="1565"/>
      <c r="E15" s="483"/>
      <c r="F15" s="477"/>
      <c r="G15" s="1573" t="s">
        <v>606</v>
      </c>
      <c r="H15" s="482"/>
      <c r="I15" s="482"/>
      <c r="J15" s="227" t="s">
        <v>607</v>
      </c>
      <c r="K15" s="480"/>
      <c r="AF15" s="1558">
        <v>0</v>
      </c>
    </row>
    <row r="16" spans="1:32" ht="11.25" hidden="1" customHeight="1">
      <c r="AF16" s="1558">
        <v>0</v>
      </c>
    </row>
    <row r="17" spans="1:32" ht="22.5" hidden="1" customHeight="1">
      <c r="D17" s="1565"/>
      <c r="E17" s="483"/>
      <c r="F17" s="477"/>
      <c r="G17" s="1573" t="s">
        <v>608</v>
      </c>
      <c r="H17" s="482"/>
      <c r="I17" s="482"/>
      <c r="J17" s="227" t="s">
        <v>609</v>
      </c>
      <c r="K17" s="480"/>
      <c r="AF17" s="1558">
        <v>0</v>
      </c>
    </row>
    <row r="18" spans="1:32" ht="11.25" hidden="1" customHeight="1">
      <c r="AF18" s="1558">
        <v>0</v>
      </c>
    </row>
    <row r="19" spans="1:32" s="1559" customFormat="1" ht="11.25" hidden="1" customHeight="1">
      <c r="A19" s="917"/>
      <c r="B19" s="1087"/>
      <c r="C19" s="1563"/>
      <c r="D19" s="299"/>
      <c r="J19" s="1559">
        <v>4</v>
      </c>
      <c r="K19" s="1087"/>
      <c r="L19" s="1563"/>
      <c r="M19" s="1563"/>
      <c r="N19" s="1087"/>
      <c r="O19" s="1087"/>
      <c r="P19" s="1087"/>
      <c r="Q19" s="1087"/>
      <c r="R19" s="1563"/>
      <c r="S19" s="1087"/>
      <c r="T19" s="1087"/>
      <c r="U19" s="481"/>
      <c r="V19" s="1087"/>
      <c r="W19" s="1087"/>
      <c r="X19" s="1087"/>
      <c r="Y19" s="1087"/>
      <c r="Z19" s="1087"/>
      <c r="AF19" s="1559">
        <v>0</v>
      </c>
    </row>
    <row r="20" spans="1:32" ht="11.25" customHeight="1">
      <c r="AF20" s="1558">
        <v>11</v>
      </c>
    </row>
    <row r="21" spans="1:32" ht="25.5" customHeight="1">
      <c r="E21" s="2877" t="str">
        <f>FHD_NAME_FORM</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F21" s="2877"/>
      <c r="G21" s="2877"/>
      <c r="H21" s="2877"/>
      <c r="I21" s="2877"/>
      <c r="J21" s="493"/>
      <c r="AF21" s="1558">
        <v>24</v>
      </c>
    </row>
    <row r="22" spans="1:32" ht="25.5" customHeight="1">
      <c r="E22" s="2849" t="str">
        <f>IF(org=0,"Не определено",org)</f>
        <v>ТМУП "ТТС"</v>
      </c>
      <c r="F22" s="2849"/>
      <c r="G22" s="2849"/>
      <c r="H22" s="2849"/>
      <c r="I22" s="2849"/>
      <c r="AF22" s="1558">
        <v>24</v>
      </c>
    </row>
    <row r="23" spans="1:32" ht="11.25" customHeight="1">
      <c r="E23" s="1062"/>
      <c r="F23" s="1062"/>
      <c r="G23" s="1062"/>
      <c r="H23" s="1062"/>
      <c r="I23" s="1062"/>
      <c r="AF23" s="1558">
        <v>11</v>
      </c>
    </row>
    <row r="24" spans="1:32" s="1569" customFormat="1" ht="0.75" customHeight="1">
      <c r="A24" s="1094"/>
      <c r="H24" s="819"/>
      <c r="I24" s="819" t="s">
        <v>122</v>
      </c>
      <c r="AF24" s="1563">
        <v>1</v>
      </c>
    </row>
    <row r="25" spans="1:32" ht="11.25" customHeight="1">
      <c r="E25" s="648"/>
      <c r="F25" s="2984" t="s">
        <v>110</v>
      </c>
      <c r="G25" s="2985"/>
      <c r="H25" s="1579" t="str">
        <f>IF(H24="","",INDEX(DIFFERENTIATION_UNMERGE_VD,MATCH(H24,DIFFERENTIATION_ID_DIFF,0)))</f>
        <v/>
      </c>
      <c r="I25" s="1579">
        <f>IF(I24="","",INDEX(DIFFERENTIATION_UNMERGE_VD,MATCH(I24,DIFFERENTIATION_ID_DIFF,0)))</f>
        <v>0</v>
      </c>
      <c r="J25" s="2758"/>
      <c r="AF25" s="1558">
        <v>11</v>
      </c>
    </row>
    <row r="26" spans="1:32" ht="11.25" customHeight="1">
      <c r="E26" s="648"/>
      <c r="F26" s="2984" t="s">
        <v>610</v>
      </c>
      <c r="G26" s="2985"/>
      <c r="H26" s="1579" t="str">
        <f>IF(H24="","",INDEX(DIFFERENTIATION_UNMERGE_AREA,MATCH(H24,DIFFERENTIATION_ID_DIFF,0)))</f>
        <v/>
      </c>
      <c r="I26" s="1579" t="str">
        <f>IF(I24="","",INDEX(DIFFERENTIATION_UNMERGE_AREA,MATCH(I24,DIFFERENTIATION_ID_DIFF,0)))</f>
        <v/>
      </c>
      <c r="J26" s="2758"/>
      <c r="AF26" s="1558">
        <v>11</v>
      </c>
    </row>
    <row r="27" spans="1:32" ht="11.25" customHeight="1">
      <c r="E27" s="648"/>
      <c r="F27" s="2984" t="s">
        <v>611</v>
      </c>
      <c r="G27" s="2985"/>
      <c r="H27" s="1579" t="str">
        <f>IF(H24="","",INDEX(DIFFERENTIATION_UNMERGE_SYSTEM,MATCH(H24,DIFFERENTIATION_ID_DIFF,0)))</f>
        <v/>
      </c>
      <c r="I27" s="1579" t="str">
        <f>IF(I24="","",INDEX(DIFFERENTIATION_UNMERGE_SYSTEM,MATCH(I24,DIFFERENTIATION_ID_DIFF,0)))</f>
        <v>без дифференциации</v>
      </c>
      <c r="J27" s="2758"/>
      <c r="AF27" s="1558">
        <v>11</v>
      </c>
    </row>
    <row r="28" spans="1:32" ht="11.25" customHeight="1">
      <c r="E28" s="2986" t="s">
        <v>345</v>
      </c>
      <c r="F28" s="2987"/>
      <c r="G28" s="2987"/>
      <c r="H28" s="1572"/>
      <c r="I28" s="1572"/>
      <c r="J28" s="2758"/>
      <c r="AF28" s="1558">
        <v>11</v>
      </c>
    </row>
    <row r="29" spans="1:32" ht="24" customHeight="1">
      <c r="E29" s="1573" t="s">
        <v>93</v>
      </c>
      <c r="F29" s="1580" t="s">
        <v>347</v>
      </c>
      <c r="G29" s="1580" t="s">
        <v>612</v>
      </c>
      <c r="H29" s="1580" t="s">
        <v>348</v>
      </c>
      <c r="I29" s="1580" t="s">
        <v>348</v>
      </c>
      <c r="J29" s="2758"/>
      <c r="AF29" s="1558">
        <v>23</v>
      </c>
    </row>
    <row r="30" spans="1:32" ht="20.25" customHeight="1">
      <c r="D30" s="1565"/>
      <c r="E30" s="483">
        <f>FHD_NUM_P_1</f>
        <v>1</v>
      </c>
      <c r="F30" s="1805" t="str">
        <f>FHD_P_1</f>
        <v>Выручка от регулируемого вида деятельности с распределением по видам деятельности</v>
      </c>
      <c r="G30" s="1803" t="s">
        <v>598</v>
      </c>
      <c r="H30" s="494"/>
      <c r="I30" s="494"/>
      <c r="J30" s="227" t="str">
        <f>FHD_NOTE_P_1</f>
        <v>Указывается выручка от регулируемого вида деятельности с распределением по видам деятельности.</v>
      </c>
      <c r="K30" s="480"/>
      <c r="AF30" s="1558">
        <v>19</v>
      </c>
    </row>
    <row r="31" spans="1:32" ht="11.25" customHeight="1">
      <c r="D31" s="1565"/>
      <c r="E31" s="483">
        <f>FHD_NUM_P_2</f>
        <v>2</v>
      </c>
      <c r="F31" s="1805" t="str">
        <f>FHD_P_2</f>
        <v>Себестоимость производимых товаров (оказываемых услуг) по регулируемому виду деятельности, включая:</v>
      </c>
      <c r="G31" s="1803" t="s">
        <v>598</v>
      </c>
      <c r="H31" s="495">
        <f>SUMIF($K33:$K71,$K31,H33:H71)</f>
        <v>0</v>
      </c>
      <c r="I31" s="495">
        <f>SUMIF($K33:$K71,$K31,I33:I71)</f>
        <v>0</v>
      </c>
      <c r="J31" s="227" t="str">
        <f>FHD_NOTE_P_2</f>
        <v>Указывается суммарная себестоимость производимых товаров.</v>
      </c>
      <c r="K31" s="1563" t="s">
        <v>613</v>
      </c>
      <c r="AF31" s="1558">
        <v>11</v>
      </c>
    </row>
    <row r="32" spans="1:32" ht="11.25" customHeight="1">
      <c r="D32" s="1565"/>
      <c r="E32" s="483" t="str">
        <f>FHD_NUM_P_3</f>
        <v>2.1</v>
      </c>
      <c r="F32" s="1451" t="str">
        <f>FHD_P_3</f>
        <v>Расходы на приобретаемую тепловую энергию (мощность), теплоноситель</v>
      </c>
      <c r="G32" s="1803" t="s">
        <v>598</v>
      </c>
      <c r="H32" s="494"/>
      <c r="I32" s="494"/>
      <c r="J32" s="227" t="str">
        <f>FHD_NOTE_P_3</f>
        <v/>
      </c>
      <c r="K32" s="1563" t="str">
        <f t="shared" ref="K32:K70" si="0">IF((LEN(E32)-LEN(SUBSTITUTE(E32,".","")))/LEN(".")=1,"p","")</f>
        <v>p</v>
      </c>
      <c r="AF32" s="1558">
        <v>11</v>
      </c>
    </row>
    <row r="33" spans="1:32" ht="11.25" customHeight="1">
      <c r="A33" s="2982" t="s">
        <v>614</v>
      </c>
      <c r="D33" s="1565"/>
      <c r="E33" s="483" t="str">
        <f>FHD_NUM_P_4</f>
        <v>2.2</v>
      </c>
      <c r="F33" s="1451" t="str">
        <f>FHD_P_4</f>
        <v>Расходы на топливо с указанием по каждому виду топлива стоимости (за единицу объема), объема и способа его приобретения, стоимости его доставки</v>
      </c>
      <c r="G33" s="1803" t="s">
        <v>598</v>
      </c>
      <c r="H33" s="495">
        <f>SUMIF($F34:$F40,$F3,H34:H40)</f>
        <v>0</v>
      </c>
      <c r="I33" s="495">
        <f>SUMIF($F34:$F40,$F3,I34:I40)</f>
        <v>0</v>
      </c>
      <c r="J33" s="227" t="str">
        <f>FHD_NOTE_P_4</f>
        <v>Указываются суммарные расходы на приобретение топлива всех видов.</v>
      </c>
      <c r="K33" s="1563" t="str">
        <f t="shared" si="0"/>
        <v>p</v>
      </c>
      <c r="AF33" s="1558">
        <v>0</v>
      </c>
    </row>
    <row r="34" spans="1:32" s="1568" customFormat="1" ht="0.75" customHeight="1">
      <c r="A34" s="2982"/>
      <c r="B34" s="2983" t="str">
        <f>E33&amp;".0"</f>
        <v>2.2.0</v>
      </c>
      <c r="C34" s="1094"/>
      <c r="D34" s="497"/>
      <c r="E34" s="498"/>
      <c r="F34" s="499"/>
      <c r="G34" s="500"/>
      <c r="H34" s="434"/>
      <c r="I34" s="434"/>
      <c r="J34" s="501"/>
      <c r="K34" s="1563" t="str">
        <f t="shared" si="0"/>
        <v/>
      </c>
      <c r="L34" s="1563"/>
      <c r="M34" s="1563"/>
      <c r="N34" s="1563"/>
      <c r="O34" s="1563"/>
      <c r="P34" s="1563"/>
      <c r="Q34" s="1563"/>
      <c r="R34" s="1563"/>
      <c r="S34" s="1563"/>
      <c r="T34" s="1563"/>
      <c r="U34" s="502"/>
      <c r="V34" s="1563"/>
      <c r="W34" s="1563"/>
      <c r="X34" s="1563"/>
      <c r="Y34" s="1563"/>
      <c r="Z34" s="1563"/>
      <c r="AA34" s="503"/>
      <c r="AB34" s="503"/>
      <c r="AC34" s="503"/>
      <c r="AD34" s="503"/>
      <c r="AE34" s="503"/>
      <c r="AF34" s="1568">
        <v>0</v>
      </c>
    </row>
    <row r="35" spans="1:32" s="1568" customFormat="1" ht="0.75" customHeight="1">
      <c r="A35" s="2982"/>
      <c r="B35" s="2983"/>
      <c r="C35" s="1094"/>
      <c r="D35" s="497"/>
      <c r="E35" s="504"/>
      <c r="F35" s="505"/>
      <c r="G35" s="500"/>
      <c r="H35" s="506"/>
      <c r="I35" s="506"/>
      <c r="J35" s="501"/>
      <c r="K35" s="1563" t="str">
        <f t="shared" si="0"/>
        <v/>
      </c>
      <c r="L35" s="1563"/>
      <c r="M35" s="1563"/>
      <c r="N35" s="1563"/>
      <c r="O35" s="1563"/>
      <c r="P35" s="1563"/>
      <c r="Q35" s="1563"/>
      <c r="R35" s="1563"/>
      <c r="S35" s="1563"/>
      <c r="T35" s="1563"/>
      <c r="U35" s="502"/>
      <c r="V35" s="1563"/>
      <c r="W35" s="1563"/>
      <c r="X35" s="1563"/>
      <c r="Y35" s="1563"/>
      <c r="Z35" s="1563"/>
      <c r="AA35" s="503"/>
      <c r="AB35" s="503"/>
      <c r="AC35" s="503"/>
      <c r="AD35" s="503"/>
      <c r="AE35" s="503"/>
      <c r="AF35" s="1568">
        <v>0</v>
      </c>
    </row>
    <row r="36" spans="1:32" s="1568" customFormat="1" ht="0.75" customHeight="1">
      <c r="A36" s="2982"/>
      <c r="B36" s="2983"/>
      <c r="C36" s="1094"/>
      <c r="D36" s="497"/>
      <c r="E36" s="504"/>
      <c r="F36" s="505"/>
      <c r="G36" s="500"/>
      <c r="H36" s="506"/>
      <c r="I36" s="506"/>
      <c r="J36" s="501"/>
      <c r="K36" s="1563" t="str">
        <f t="shared" si="0"/>
        <v/>
      </c>
      <c r="L36" s="1563"/>
      <c r="M36" s="1563"/>
      <c r="N36" s="1563"/>
      <c r="O36" s="1563"/>
      <c r="P36" s="1563"/>
      <c r="Q36" s="1563"/>
      <c r="R36" s="1563"/>
      <c r="S36" s="1563"/>
      <c r="T36" s="1563"/>
      <c r="U36" s="502"/>
      <c r="V36" s="1563"/>
      <c r="W36" s="1563"/>
      <c r="X36" s="1563"/>
      <c r="Y36" s="1563"/>
      <c r="Z36" s="1563"/>
      <c r="AA36" s="503"/>
      <c r="AB36" s="503"/>
      <c r="AC36" s="503"/>
      <c r="AD36" s="503"/>
      <c r="AE36" s="503"/>
      <c r="AF36" s="1568">
        <v>0</v>
      </c>
    </row>
    <row r="37" spans="1:32" s="1568" customFormat="1" ht="0.75" customHeight="1">
      <c r="A37" s="2982"/>
      <c r="B37" s="2983"/>
      <c r="C37" s="1094"/>
      <c r="D37" s="497"/>
      <c r="E37" s="504"/>
      <c r="F37" s="505"/>
      <c r="G37" s="500"/>
      <c r="H37" s="506"/>
      <c r="I37" s="506"/>
      <c r="J37" s="501"/>
      <c r="K37" s="1563" t="str">
        <f t="shared" si="0"/>
        <v/>
      </c>
      <c r="L37" s="1563"/>
      <c r="M37" s="1563"/>
      <c r="N37" s="1563"/>
      <c r="O37" s="1563"/>
      <c r="P37" s="1563"/>
      <c r="Q37" s="1563"/>
      <c r="R37" s="1563"/>
      <c r="S37" s="1563"/>
      <c r="T37" s="1563"/>
      <c r="U37" s="502"/>
      <c r="V37" s="1563"/>
      <c r="W37" s="1563"/>
      <c r="X37" s="1563"/>
      <c r="Y37" s="1563"/>
      <c r="Z37" s="1563"/>
      <c r="AA37" s="503"/>
      <c r="AB37" s="503"/>
      <c r="AC37" s="503"/>
      <c r="AD37" s="503"/>
      <c r="AE37" s="503"/>
      <c r="AF37" s="1568">
        <v>0</v>
      </c>
    </row>
    <row r="38" spans="1:32" s="1568" customFormat="1" ht="0.75" customHeight="1">
      <c r="A38" s="2982"/>
      <c r="B38" s="2983"/>
      <c r="C38" s="1094"/>
      <c r="D38" s="497"/>
      <c r="E38" s="504"/>
      <c r="F38" s="505"/>
      <c r="G38" s="500"/>
      <c r="H38" s="506"/>
      <c r="I38" s="506"/>
      <c r="J38" s="501"/>
      <c r="K38" s="1563" t="str">
        <f t="shared" si="0"/>
        <v/>
      </c>
      <c r="L38" s="1563"/>
      <c r="M38" s="1563"/>
      <c r="N38" s="1563"/>
      <c r="O38" s="1563"/>
      <c r="P38" s="1563"/>
      <c r="Q38" s="1563"/>
      <c r="R38" s="1563"/>
      <c r="S38" s="1563"/>
      <c r="T38" s="1563"/>
      <c r="U38" s="502"/>
      <c r="V38" s="1563"/>
      <c r="W38" s="1563"/>
      <c r="X38" s="1563"/>
      <c r="Y38" s="1563"/>
      <c r="Z38" s="1563"/>
      <c r="AA38" s="503"/>
      <c r="AB38" s="503"/>
      <c r="AC38" s="503"/>
      <c r="AD38" s="503"/>
      <c r="AE38" s="503"/>
      <c r="AF38" s="1568">
        <v>0</v>
      </c>
    </row>
    <row r="39" spans="1:32" s="1568" customFormat="1" ht="0.75" customHeight="1">
      <c r="A39" s="2982"/>
      <c r="B39" s="2983"/>
      <c r="C39" s="1094"/>
      <c r="D39" s="497"/>
      <c r="E39" s="504"/>
      <c r="F39" s="505"/>
      <c r="G39" s="500"/>
      <c r="H39" s="434"/>
      <c r="I39" s="434"/>
      <c r="J39" s="501"/>
      <c r="K39" s="1563" t="str">
        <f t="shared" si="0"/>
        <v/>
      </c>
      <c r="L39" s="1563"/>
      <c r="M39" s="1563"/>
      <c r="N39" s="1563"/>
      <c r="O39" s="1563"/>
      <c r="P39" s="1563"/>
      <c r="Q39" s="1563"/>
      <c r="R39" s="1563"/>
      <c r="S39" s="1563"/>
      <c r="T39" s="1563"/>
      <c r="U39" s="502"/>
      <c r="V39" s="1563"/>
      <c r="W39" s="1563"/>
      <c r="X39" s="1563"/>
      <c r="Y39" s="1563"/>
      <c r="Z39" s="1563"/>
      <c r="AA39" s="503"/>
      <c r="AB39" s="503"/>
      <c r="AC39" s="503"/>
      <c r="AD39" s="503"/>
      <c r="AE39" s="503"/>
      <c r="AF39" s="1568">
        <v>0</v>
      </c>
    </row>
    <row r="40" spans="1:32" s="1293" customFormat="1" ht="15" customHeight="1">
      <c r="A40" s="2982"/>
      <c r="C40" s="1563"/>
      <c r="D40" s="1560"/>
      <c r="E40" s="507"/>
      <c r="F40" s="508" t="s">
        <v>615</v>
      </c>
      <c r="G40" s="509"/>
      <c r="H40" s="510"/>
      <c r="I40" s="510"/>
      <c r="J40" s="239"/>
      <c r="K40" s="1563" t="str">
        <f t="shared" si="0"/>
        <v/>
      </c>
      <c r="L40" s="1563"/>
      <c r="M40" s="1563"/>
      <c r="R40" s="1563"/>
      <c r="U40" s="481"/>
      <c r="AA40" s="1559"/>
      <c r="AB40" s="1559"/>
      <c r="AC40" s="1559"/>
      <c r="AD40" s="1559"/>
      <c r="AE40" s="1559"/>
      <c r="AF40" s="1087">
        <v>0</v>
      </c>
    </row>
    <row r="41" spans="1:32" ht="11.25" hidden="1" customHeight="1">
      <c r="A41" s="2982" t="s">
        <v>616</v>
      </c>
      <c r="D41" s="1565"/>
      <c r="E41" s="483" t="str">
        <f>FHD_NUM_P_5</f>
        <v/>
      </c>
      <c r="F41" s="1451" t="str">
        <f>FHD_P_5</f>
        <v/>
      </c>
      <c r="G41" s="1803" t="s">
        <v>598</v>
      </c>
      <c r="H41" s="494"/>
      <c r="I41" s="494"/>
      <c r="J41" s="227" t="str">
        <f>FHD_NOTE_P_5</f>
        <v/>
      </c>
      <c r="K41" s="1563" t="str">
        <f t="shared" si="0"/>
        <v/>
      </c>
      <c r="AF41" s="1558">
        <v>0</v>
      </c>
    </row>
    <row r="42" spans="1:32" ht="11.25" hidden="1" customHeight="1">
      <c r="A42" s="2982"/>
      <c r="D42" s="1565"/>
      <c r="E42" s="483" t="str">
        <f>FHD_NUM_P_6</f>
        <v/>
      </c>
      <c r="F42" s="1451" t="str">
        <f>FHD_P_6</f>
        <v/>
      </c>
      <c r="G42" s="1803" t="s">
        <v>598</v>
      </c>
      <c r="H42" s="494"/>
      <c r="I42" s="494"/>
      <c r="J42" s="227" t="str">
        <f>FHD_NOTE_P_6</f>
        <v/>
      </c>
      <c r="K42" s="1563" t="str">
        <f t="shared" si="0"/>
        <v/>
      </c>
      <c r="AF42" s="1558">
        <v>0</v>
      </c>
    </row>
    <row r="43" spans="1:32" ht="11.25" hidden="1" customHeight="1">
      <c r="A43" s="2982"/>
      <c r="D43" s="1565"/>
      <c r="E43" s="483" t="str">
        <f>FHD_NUM_P_7</f>
        <v/>
      </c>
      <c r="F43" s="1451" t="str">
        <f>FHD_P_7</f>
        <v/>
      </c>
      <c r="G43" s="1803" t="s">
        <v>598</v>
      </c>
      <c r="H43" s="494"/>
      <c r="I43" s="494"/>
      <c r="J43" s="227" t="str">
        <f>FHD_NOTE_P_7</f>
        <v/>
      </c>
      <c r="K43" s="1563" t="str">
        <f t="shared" si="0"/>
        <v/>
      </c>
      <c r="AF43" s="1558">
        <v>0</v>
      </c>
    </row>
    <row r="44" spans="1:32" ht="11.25" customHeight="1">
      <c r="D44" s="1565"/>
      <c r="E44" s="483" t="str">
        <f>FHD_NUM_P_8</f>
        <v>2.3</v>
      </c>
      <c r="F44" s="1451" t="str">
        <f>FHD_P_8</f>
        <v>Расходы на приобретаемую электрическую энергию (мощность), используемую в технологическом процессе</v>
      </c>
      <c r="G44" s="1803" t="s">
        <v>598</v>
      </c>
      <c r="H44" s="494"/>
      <c r="I44" s="494"/>
      <c r="J44" s="227" t="str">
        <f>FHD_NOTE_P_8</f>
        <v/>
      </c>
      <c r="K44" s="1563" t="str">
        <f t="shared" si="0"/>
        <v>p</v>
      </c>
      <c r="AF44" s="1558">
        <v>11</v>
      </c>
    </row>
    <row r="45" spans="1:32" ht="11.25" customHeight="1">
      <c r="D45" s="1565"/>
      <c r="E45" s="483" t="str">
        <f>FHD_NUM_P_9</f>
        <v>2.3.1</v>
      </c>
      <c r="F45" s="1577" t="str">
        <f>FHD_P_9</f>
        <v>Средневзвешенная стоимость 1 кВт.ч (с учетом мощности)</v>
      </c>
      <c r="G45" s="1803" t="s">
        <v>617</v>
      </c>
      <c r="H45" s="494"/>
      <c r="I45" s="494"/>
      <c r="J45" s="227" t="str">
        <f>FHD_NOTE_P_9</f>
        <v/>
      </c>
      <c r="K45" s="1563" t="str">
        <f t="shared" si="0"/>
        <v/>
      </c>
      <c r="AF45" s="1558">
        <v>11</v>
      </c>
    </row>
    <row r="46" spans="1:32" s="1293" customFormat="1" ht="11.25" customHeight="1">
      <c r="A46" s="917"/>
      <c r="C46" s="1563"/>
      <c r="D46" s="511"/>
      <c r="E46" s="483" t="str">
        <f>FHD_NUM_P_10</f>
        <v>2.3.2</v>
      </c>
      <c r="F46" s="1577" t="str">
        <f>FHD_P_10</f>
        <v>Объём приобретения электрической энергии</v>
      </c>
      <c r="G46" s="1803" t="s">
        <v>618</v>
      </c>
      <c r="H46" s="494"/>
      <c r="I46" s="494"/>
      <c r="J46" s="227" t="str">
        <f>FHD_NOTE_P_10</f>
        <v/>
      </c>
      <c r="K46" s="1563" t="str">
        <f t="shared" si="0"/>
        <v/>
      </c>
      <c r="L46" s="1563"/>
      <c r="M46" s="1563"/>
      <c r="R46" s="1563"/>
      <c r="U46" s="481"/>
      <c r="AA46" s="1559"/>
      <c r="AB46" s="1559"/>
      <c r="AC46" s="1559"/>
      <c r="AD46" s="1559"/>
      <c r="AE46" s="1559"/>
      <c r="AF46" s="1087">
        <v>11</v>
      </c>
    </row>
    <row r="47" spans="1:32" s="1293" customFormat="1" ht="11.25" customHeight="1">
      <c r="A47" s="919" t="s">
        <v>619</v>
      </c>
      <c r="C47" s="1563"/>
      <c r="D47" s="512"/>
      <c r="E47" s="483" t="str">
        <f>FHD_NUM_P_11</f>
        <v>2.4</v>
      </c>
      <c r="F47" s="1451" t="str">
        <f>FHD_P_11</f>
        <v>Расходы на приобретение холодной воды, используемой в технологическом процессе</v>
      </c>
      <c r="G47" s="1803" t="s">
        <v>598</v>
      </c>
      <c r="H47" s="494"/>
      <c r="I47" s="494"/>
      <c r="J47" s="227" t="str">
        <f>FHD_NOTE_P_11</f>
        <v/>
      </c>
      <c r="K47" s="1563" t="str">
        <f t="shared" si="0"/>
        <v>p</v>
      </c>
      <c r="L47" s="1563"/>
      <c r="M47" s="1563"/>
      <c r="R47" s="1563"/>
      <c r="U47" s="481"/>
      <c r="AA47" s="1559"/>
      <c r="AB47" s="1559"/>
      <c r="AC47" s="1559"/>
      <c r="AD47" s="1559"/>
      <c r="AE47" s="1559"/>
      <c r="AF47" s="1087">
        <v>0</v>
      </c>
    </row>
    <row r="48" spans="1:32" s="1293" customFormat="1" ht="18.75" customHeight="1">
      <c r="A48" s="919" t="s">
        <v>620</v>
      </c>
      <c r="C48" s="1563"/>
      <c r="D48" s="1565"/>
      <c r="E48" s="483" t="str">
        <f>FHD_NUM_P_12</f>
        <v>2.5</v>
      </c>
      <c r="F48" s="1451" t="str">
        <f>FHD_P_12</f>
        <v>Расходы на  химические реагенты, используемые в технологическом процессе</v>
      </c>
      <c r="G48" s="1803" t="s">
        <v>598</v>
      </c>
      <c r="H48" s="514"/>
      <c r="I48" s="514"/>
      <c r="J48" s="227" t="str">
        <f>FHD_NOTE_P_12</f>
        <v/>
      </c>
      <c r="K48" s="1563" t="str">
        <f t="shared" si="0"/>
        <v>p</v>
      </c>
      <c r="L48" s="1563"/>
      <c r="M48" s="1563"/>
      <c r="R48" s="1563"/>
      <c r="U48" s="481"/>
      <c r="AA48" s="1559"/>
      <c r="AB48" s="1559"/>
      <c r="AC48" s="1559"/>
      <c r="AD48" s="1559"/>
      <c r="AE48" s="1559"/>
      <c r="AF48" s="1087">
        <v>18</v>
      </c>
    </row>
    <row r="49" spans="1:32" s="1292" customFormat="1" ht="11.25" customHeight="1">
      <c r="A49" s="918"/>
      <c r="C49" s="667"/>
      <c r="D49" s="610"/>
      <c r="E49" s="483" t="str">
        <f>FHD_NUM_P_13</f>
        <v>2.6</v>
      </c>
      <c r="F49" s="1451" t="str">
        <f>FHD_P_13</f>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G49" s="1803" t="s">
        <v>598</v>
      </c>
      <c r="H49" s="494"/>
      <c r="I49" s="494"/>
      <c r="J49" s="227" t="str">
        <f>FHD_NOTE_P_13</f>
        <v/>
      </c>
      <c r="K49" s="1563" t="str">
        <f t="shared" si="0"/>
        <v>p</v>
      </c>
      <c r="L49" s="667"/>
      <c r="M49" s="667"/>
      <c r="R49" s="667"/>
      <c r="U49" s="668"/>
      <c r="AA49" s="669"/>
      <c r="AB49" s="669"/>
      <c r="AC49" s="669"/>
      <c r="AD49" s="669"/>
      <c r="AE49" s="669"/>
      <c r="AF49" s="666">
        <v>11</v>
      </c>
    </row>
    <row r="50" spans="1:32" s="1292" customFormat="1" ht="11.25" customHeight="1">
      <c r="A50" s="918"/>
      <c r="C50" s="667"/>
      <c r="D50" s="610"/>
      <c r="E50" s="483" t="str">
        <f>FHD_NUM_P_14</f>
        <v>2.6.1</v>
      </c>
      <c r="F50" s="1577" t="str">
        <f>FHD_P_14</f>
        <v>Расходы на оплату труда основного производственного персонала</v>
      </c>
      <c r="G50" s="1803" t="s">
        <v>598</v>
      </c>
      <c r="H50" s="494"/>
      <c r="I50" s="494"/>
      <c r="J50" s="227" t="str">
        <f>FHD_NOTE_P_14</f>
        <v/>
      </c>
      <c r="K50" s="1563" t="str">
        <f t="shared" si="0"/>
        <v/>
      </c>
      <c r="L50" s="667"/>
      <c r="M50" s="667"/>
      <c r="R50" s="667"/>
      <c r="U50" s="668"/>
      <c r="AA50" s="669"/>
      <c r="AB50" s="669"/>
      <c r="AC50" s="669"/>
      <c r="AD50" s="669"/>
      <c r="AE50" s="669"/>
      <c r="AF50" s="666">
        <v>11</v>
      </c>
    </row>
    <row r="51" spans="1:32" s="1292" customFormat="1" ht="11.25" customHeight="1">
      <c r="A51" s="918"/>
      <c r="C51" s="667"/>
      <c r="D51" s="610"/>
      <c r="E51" s="483" t="str">
        <f>FHD_NUM_P_15</f>
        <v>2.6.2</v>
      </c>
      <c r="F51" s="1577" t="str">
        <f>FHD_P_15</f>
        <v>Страховые взносы на обязательное социальное страхование, выплачиваемые из фонда оплаты труда основного производственного персонала</v>
      </c>
      <c r="G51" s="1803" t="s">
        <v>598</v>
      </c>
      <c r="H51" s="494"/>
      <c r="I51" s="494"/>
      <c r="J51" s="227" t="str">
        <f>FHD_NOTE_P_15</f>
        <v/>
      </c>
      <c r="K51" s="1563" t="str">
        <f t="shared" si="0"/>
        <v/>
      </c>
      <c r="L51" s="667"/>
      <c r="M51" s="667"/>
      <c r="R51" s="667"/>
      <c r="U51" s="668"/>
      <c r="AA51" s="669"/>
      <c r="AB51" s="669"/>
      <c r="AC51" s="669"/>
      <c r="AD51" s="669"/>
      <c r="AE51" s="669"/>
      <c r="AF51" s="666">
        <v>11</v>
      </c>
    </row>
    <row r="52" spans="1:32" s="1293" customFormat="1" ht="11.25" customHeight="1">
      <c r="A52" s="917"/>
      <c r="C52" s="1563"/>
      <c r="D52" s="1565"/>
      <c r="E52" s="483" t="str">
        <f>FHD_NUM_P_16</f>
        <v>2.7</v>
      </c>
      <c r="F52" s="1451" t="str">
        <f>FHD_P_16</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G52" s="1803" t="s">
        <v>598</v>
      </c>
      <c r="H52" s="494"/>
      <c r="I52" s="494"/>
      <c r="J52" s="227" t="str">
        <f>FHD_NOTE_P_16</f>
        <v/>
      </c>
      <c r="K52" s="1563" t="str">
        <f t="shared" si="0"/>
        <v>p</v>
      </c>
      <c r="L52" s="1563"/>
      <c r="M52" s="1569"/>
      <c r="N52" s="474"/>
      <c r="O52" s="474"/>
      <c r="R52" s="1563"/>
      <c r="U52" s="481"/>
      <c r="AA52" s="1559"/>
      <c r="AB52" s="1559"/>
      <c r="AC52" s="1559"/>
      <c r="AD52" s="1559"/>
      <c r="AE52" s="1559"/>
      <c r="AF52" s="1087">
        <v>11</v>
      </c>
    </row>
    <row r="53" spans="1:32" s="1293" customFormat="1" ht="11.25" customHeight="1">
      <c r="A53" s="917"/>
      <c r="C53" s="1563"/>
      <c r="D53" s="1565"/>
      <c r="E53" s="483" t="str">
        <f>FHD_NUM_P_17</f>
        <v>2.7.1</v>
      </c>
      <c r="F53" s="1577" t="str">
        <f>FHD_P_17</f>
        <v>Расходы на оплату труда административно-управленческого персонала</v>
      </c>
      <c r="G53" s="1803" t="s">
        <v>598</v>
      </c>
      <c r="H53" s="494"/>
      <c r="I53" s="494"/>
      <c r="J53" s="227" t="str">
        <f>FHD_NOTE_P_17</f>
        <v/>
      </c>
      <c r="K53" s="1563" t="str">
        <f t="shared" si="0"/>
        <v/>
      </c>
      <c r="L53" s="1563"/>
      <c r="M53" s="1569"/>
      <c r="N53" s="474"/>
      <c r="O53" s="474"/>
      <c r="R53" s="1563"/>
      <c r="U53" s="481"/>
      <c r="AA53" s="1559"/>
      <c r="AB53" s="1559"/>
      <c r="AC53" s="1559"/>
      <c r="AD53" s="1559"/>
      <c r="AE53" s="1559"/>
      <c r="AF53" s="1087">
        <v>11</v>
      </c>
    </row>
    <row r="54" spans="1:32" s="1293" customFormat="1" ht="11.25" customHeight="1">
      <c r="A54" s="917"/>
      <c r="C54" s="1563"/>
      <c r="D54" s="1565"/>
      <c r="E54" s="483" t="str">
        <f>FHD_NUM_P_18</f>
        <v>2.7.2</v>
      </c>
      <c r="F54" s="1577" t="str">
        <f>FHD_P_18</f>
        <v>Страховые взносы на обязательное социальное страхование, выплачиваемые из фонда оплаты труда административно-управленческого персонала</v>
      </c>
      <c r="G54" s="1803" t="s">
        <v>598</v>
      </c>
      <c r="H54" s="494"/>
      <c r="I54" s="494"/>
      <c r="J54" s="227" t="str">
        <f>FHD_NOTE_P_18</f>
        <v/>
      </c>
      <c r="K54" s="1563" t="str">
        <f t="shared" si="0"/>
        <v/>
      </c>
      <c r="L54" s="1563"/>
      <c r="M54" s="1569"/>
      <c r="N54" s="474"/>
      <c r="O54" s="474"/>
      <c r="R54" s="1563"/>
      <c r="U54" s="481"/>
      <c r="AA54" s="1559"/>
      <c r="AB54" s="1559"/>
      <c r="AC54" s="1559"/>
      <c r="AD54" s="1559"/>
      <c r="AE54" s="1559"/>
      <c r="AF54" s="1087">
        <v>11</v>
      </c>
    </row>
    <row r="55" spans="1:32" s="1293" customFormat="1" ht="11.25" customHeight="1">
      <c r="A55" s="917"/>
      <c r="C55" s="1563"/>
      <c r="D55" s="512"/>
      <c r="E55" s="483" t="str">
        <f>FHD_NUM_P_19</f>
        <v>2.8</v>
      </c>
      <c r="F55" s="1451" t="str">
        <f>FHD_P_19</f>
        <v>Расходы на амортизацию основных средств и нематериальных активов</v>
      </c>
      <c r="G55" s="1803" t="s">
        <v>598</v>
      </c>
      <c r="H55" s="494"/>
      <c r="I55" s="494"/>
      <c r="J55" s="227" t="str">
        <f>FHD_NOTE_P_19</f>
        <v/>
      </c>
      <c r="K55" s="1563" t="str">
        <f t="shared" si="0"/>
        <v>p</v>
      </c>
      <c r="L55" s="1563"/>
      <c r="M55" s="1563"/>
      <c r="R55" s="1563"/>
      <c r="U55" s="481"/>
      <c r="AA55" s="1559"/>
      <c r="AB55" s="1559"/>
      <c r="AC55" s="1559"/>
      <c r="AD55" s="1559"/>
      <c r="AE55" s="1559"/>
      <c r="AF55" s="1087">
        <v>11</v>
      </c>
    </row>
    <row r="56" spans="1:32" s="1293" customFormat="1" ht="11.25" customHeight="1">
      <c r="A56" s="917"/>
      <c r="C56" s="1563"/>
      <c r="D56" s="512"/>
      <c r="E56" s="483" t="str">
        <f>FHD_NUM_P_20</f>
        <v>2.8.1</v>
      </c>
      <c r="F56" s="1577" t="str">
        <f>FHD_P_20</f>
        <v>Расходы на амортизацию основных средств</v>
      </c>
      <c r="G56" s="1803" t="s">
        <v>598</v>
      </c>
      <c r="H56" s="494"/>
      <c r="I56" s="494"/>
      <c r="J56" s="227" t="str">
        <f>FHD_NOTE_P_20</f>
        <v/>
      </c>
      <c r="K56" s="1563" t="str">
        <f t="shared" si="0"/>
        <v/>
      </c>
      <c r="L56" s="1563"/>
      <c r="M56" s="1563"/>
      <c r="R56" s="1563"/>
      <c r="U56" s="481"/>
      <c r="AA56" s="1559"/>
      <c r="AB56" s="1559"/>
      <c r="AC56" s="1559"/>
      <c r="AD56" s="1559"/>
      <c r="AE56" s="1559"/>
      <c r="AF56" s="1087">
        <v>11</v>
      </c>
    </row>
    <row r="57" spans="1:32" s="1293" customFormat="1" ht="11.25" customHeight="1">
      <c r="A57" s="917"/>
      <c r="C57" s="1563"/>
      <c r="D57" s="512"/>
      <c r="E57" s="483" t="str">
        <f>FHD_NUM_P_21</f>
        <v>2.8.2</v>
      </c>
      <c r="F57" s="1577" t="str">
        <f>FHD_P_21</f>
        <v>Расходы на амортизацию нематериальных активов</v>
      </c>
      <c r="G57" s="1803" t="s">
        <v>598</v>
      </c>
      <c r="H57" s="494"/>
      <c r="I57" s="494"/>
      <c r="J57" s="227" t="str">
        <f>FHD_NOTE_P_21</f>
        <v/>
      </c>
      <c r="K57" s="1563" t="str">
        <f t="shared" si="0"/>
        <v/>
      </c>
      <c r="L57" s="1563"/>
      <c r="M57" s="1563"/>
      <c r="R57" s="1563"/>
      <c r="U57" s="481"/>
      <c r="AA57" s="1559"/>
      <c r="AB57" s="1559"/>
      <c r="AC57" s="1559"/>
      <c r="AD57" s="1559"/>
      <c r="AE57" s="1559"/>
      <c r="AF57" s="1087">
        <v>11</v>
      </c>
    </row>
    <row r="58" spans="1:32" s="1293" customFormat="1" ht="11.25" customHeight="1">
      <c r="A58" s="917"/>
      <c r="C58" s="1563"/>
      <c r="D58" s="1565"/>
      <c r="E58" s="483" t="str">
        <f>FHD_NUM_P_22</f>
        <v>2.9</v>
      </c>
      <c r="F58" s="1451" t="str">
        <f>FHD_P_22</f>
        <v>Расходы на аренду имущества, используемого для осуществления регулируемого вида деятельности</v>
      </c>
      <c r="G58" s="1803" t="s">
        <v>598</v>
      </c>
      <c r="H58" s="494"/>
      <c r="I58" s="494"/>
      <c r="J58" s="227" t="str">
        <f>FHD_NOTE_P_22</f>
        <v/>
      </c>
      <c r="K58" s="1563" t="str">
        <f t="shared" si="0"/>
        <v>p</v>
      </c>
      <c r="L58" s="1563"/>
      <c r="M58" s="1563"/>
      <c r="R58" s="1563"/>
      <c r="U58" s="481"/>
      <c r="AA58" s="1559"/>
      <c r="AB58" s="1559"/>
      <c r="AC58" s="1559"/>
      <c r="AD58" s="1559"/>
      <c r="AE58" s="1559"/>
      <c r="AF58" s="1087">
        <v>11</v>
      </c>
    </row>
    <row r="59" spans="1:32" s="1293" customFormat="1" ht="11.25" customHeight="1">
      <c r="A59" s="917"/>
      <c r="C59" s="1563"/>
      <c r="D59" s="512"/>
      <c r="E59" s="483" t="str">
        <f>FHD_NUM_P_23</f>
        <v>2.10</v>
      </c>
      <c r="F59" s="1451" t="str">
        <f>FHD_P_23</f>
        <v>Общепроизводственные расходы, в том числе:</v>
      </c>
      <c r="G59" s="1803" t="s">
        <v>598</v>
      </c>
      <c r="H59" s="494"/>
      <c r="I59" s="494"/>
      <c r="J59" s="227" t="str">
        <f>FHD_NOTE_P_23</f>
        <v>Указывается общая сумма общепроизводственных расходов.</v>
      </c>
      <c r="K59" s="1563" t="str">
        <f t="shared" si="0"/>
        <v>p</v>
      </c>
      <c r="L59" s="1563"/>
      <c r="M59" s="1563"/>
      <c r="R59" s="1563"/>
      <c r="U59" s="481"/>
      <c r="AA59" s="1559"/>
      <c r="AB59" s="1559"/>
      <c r="AC59" s="1559"/>
      <c r="AD59" s="1559"/>
      <c r="AE59" s="1559"/>
      <c r="AF59" s="1087">
        <v>11</v>
      </c>
    </row>
    <row r="60" spans="1:32" s="1293" customFormat="1" ht="11.25" customHeight="1">
      <c r="A60" s="917"/>
      <c r="C60" s="1563"/>
      <c r="D60" s="512"/>
      <c r="E60" s="483" t="str">
        <f>FHD_NUM_P_24</f>
        <v>2.10.1</v>
      </c>
      <c r="F60" s="1577" t="str">
        <f>FHD_P_24</f>
        <v>Расходы на текущий ремонт</v>
      </c>
      <c r="G60" s="1803" t="s">
        <v>598</v>
      </c>
      <c r="H60" s="494"/>
      <c r="I60" s="494"/>
      <c r="J60" s="227" t="str">
        <f>FHD_NOTE_P_24</f>
        <v>Указываются расходы на текущий ремонт, отнесенные к общепроизводственным расходам.</v>
      </c>
      <c r="K60" s="1563" t="str">
        <f t="shared" si="0"/>
        <v/>
      </c>
      <c r="L60" s="1563"/>
      <c r="M60" s="1563"/>
      <c r="R60" s="1563"/>
      <c r="U60" s="481"/>
      <c r="AA60" s="1559"/>
      <c r="AB60" s="1559"/>
      <c r="AC60" s="1559"/>
      <c r="AD60" s="1559"/>
      <c r="AE60" s="1559"/>
      <c r="AF60" s="1087">
        <v>11</v>
      </c>
    </row>
    <row r="61" spans="1:32" s="1293" customFormat="1" ht="11.25" customHeight="1">
      <c r="A61" s="917"/>
      <c r="C61" s="1563"/>
      <c r="D61" s="512"/>
      <c r="E61" s="483" t="str">
        <f>FHD_NUM_P_25</f>
        <v>2.10.2</v>
      </c>
      <c r="F61" s="1577" t="str">
        <f>FHD_P_25</f>
        <v>Расходы на капитальный ремонт</v>
      </c>
      <c r="G61" s="1803" t="s">
        <v>598</v>
      </c>
      <c r="H61" s="494"/>
      <c r="I61" s="494"/>
      <c r="J61" s="227" t="str">
        <f>FHD_NOTE_P_25</f>
        <v>Указываются расходы на капитальный ремонт, отнесенные к общепроизводственным расходам.</v>
      </c>
      <c r="K61" s="1563" t="str">
        <f t="shared" si="0"/>
        <v/>
      </c>
      <c r="L61" s="1563"/>
      <c r="M61" s="1563"/>
      <c r="R61" s="1563"/>
      <c r="U61" s="481"/>
      <c r="AA61" s="1559"/>
      <c r="AB61" s="1559"/>
      <c r="AC61" s="1559"/>
      <c r="AD61" s="1559"/>
      <c r="AE61" s="1559"/>
      <c r="AF61" s="1087">
        <v>11</v>
      </c>
    </row>
    <row r="62" spans="1:32" s="1293" customFormat="1" ht="11.25" customHeight="1">
      <c r="A62" s="917"/>
      <c r="C62" s="1563"/>
      <c r="D62" s="1565"/>
      <c r="E62" s="483" t="str">
        <f>FHD_NUM_P_26</f>
        <v>2.11</v>
      </c>
      <c r="F62" s="1451" t="str">
        <f>FHD_P_26</f>
        <v>Общехозяйственные расходы, в том числе:</v>
      </c>
      <c r="G62" s="1803" t="s">
        <v>598</v>
      </c>
      <c r="H62" s="494"/>
      <c r="I62" s="494"/>
      <c r="J62" s="227" t="str">
        <f>FHD_NOTE_P_26</f>
        <v>Указывается общая сумма общехозяйственных расходов.</v>
      </c>
      <c r="K62" s="1563" t="str">
        <f t="shared" si="0"/>
        <v>p</v>
      </c>
      <c r="L62" s="1563"/>
      <c r="M62" s="1563"/>
      <c r="R62" s="1563"/>
      <c r="U62" s="481"/>
      <c r="AA62" s="1559"/>
      <c r="AB62" s="1559"/>
      <c r="AC62" s="1559"/>
      <c r="AD62" s="1559"/>
      <c r="AE62" s="1559"/>
      <c r="AF62" s="1087">
        <v>11</v>
      </c>
    </row>
    <row r="63" spans="1:32" s="1293" customFormat="1" ht="11.25" customHeight="1">
      <c r="A63" s="917"/>
      <c r="C63" s="1563"/>
      <c r="D63" s="1565"/>
      <c r="E63" s="483" t="str">
        <f>FHD_NUM_P_27</f>
        <v>2.11.1</v>
      </c>
      <c r="F63" s="1577" t="str">
        <f>FHD_P_27</f>
        <v>Расходы на текущий ремонт</v>
      </c>
      <c r="G63" s="1803" t="s">
        <v>598</v>
      </c>
      <c r="H63" s="494"/>
      <c r="I63" s="494"/>
      <c r="J63" s="227" t="str">
        <f>FHD_NOTE_P_27</f>
        <v>Указываются расходы на текущий ремонт, отнесенные к общехозяйственным расходам.</v>
      </c>
      <c r="K63" s="1563" t="str">
        <f t="shared" si="0"/>
        <v/>
      </c>
      <c r="L63" s="1563"/>
      <c r="M63" s="1563"/>
      <c r="R63" s="1563"/>
      <c r="U63" s="481"/>
      <c r="AA63" s="1559"/>
      <c r="AB63" s="1559"/>
      <c r="AC63" s="1559"/>
      <c r="AD63" s="1559"/>
      <c r="AE63" s="1559"/>
      <c r="AF63" s="1087">
        <v>11</v>
      </c>
    </row>
    <row r="64" spans="1:32" s="1293" customFormat="1" ht="11.25" customHeight="1">
      <c r="A64" s="917"/>
      <c r="C64" s="1563"/>
      <c r="D64" s="1565"/>
      <c r="E64" s="483" t="str">
        <f>FHD_NUM_P_28</f>
        <v>2.11.2</v>
      </c>
      <c r="F64" s="1577" t="str">
        <f>FHD_P_28</f>
        <v>Расходы на капитальный ремонт</v>
      </c>
      <c r="G64" s="1803" t="s">
        <v>598</v>
      </c>
      <c r="H64" s="494"/>
      <c r="I64" s="494"/>
      <c r="J64" s="227" t="str">
        <f>FHD_NOTE_P_28</f>
        <v>Указываются расходы на капитальный ремонт, отнесенные к общехозяйственным расходам.</v>
      </c>
      <c r="K64" s="1563" t="str">
        <f t="shared" si="0"/>
        <v/>
      </c>
      <c r="L64" s="1563"/>
      <c r="M64" s="1563"/>
      <c r="R64" s="1563"/>
      <c r="U64" s="481"/>
      <c r="AA64" s="1559"/>
      <c r="AB64" s="1559"/>
      <c r="AC64" s="1559"/>
      <c r="AD64" s="1559"/>
      <c r="AE64" s="1559"/>
      <c r="AF64" s="1087">
        <v>11</v>
      </c>
    </row>
    <row r="65" spans="1:32" s="1293" customFormat="1" ht="11.25" customHeight="1">
      <c r="A65" s="917"/>
      <c r="C65" s="1563"/>
      <c r="D65" s="1565"/>
      <c r="E65" s="483" t="str">
        <f>FHD_NUM_P_29</f>
        <v>2.12</v>
      </c>
      <c r="F65" s="1451" t="str">
        <f>FHD_P_29</f>
        <v>Расходы на капитальный и текущий ремонт основных средств</v>
      </c>
      <c r="G65" s="1803" t="s">
        <v>598</v>
      </c>
      <c r="H65" s="494"/>
      <c r="I65" s="494"/>
      <c r="J65" s="227" t="str">
        <f>FHD_NOTE_P_29</f>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K65" s="1563" t="str">
        <f t="shared" si="0"/>
        <v>p</v>
      </c>
      <c r="L65" s="1563"/>
      <c r="M65" s="1563"/>
      <c r="R65" s="1563"/>
      <c r="U65" s="481"/>
      <c r="AA65" s="1559"/>
      <c r="AB65" s="1559"/>
      <c r="AC65" s="1559"/>
      <c r="AD65" s="1559"/>
      <c r="AE65" s="1559"/>
      <c r="AF65" s="1087">
        <v>11</v>
      </c>
    </row>
    <row r="66" spans="1:32" s="1293" customFormat="1" ht="11.25" customHeight="1">
      <c r="A66" s="917"/>
      <c r="C66" s="1563"/>
      <c r="D66" s="1565"/>
      <c r="E66" s="483" t="str">
        <f>FHD_NUM_P_30</f>
        <v>2.12.1</v>
      </c>
      <c r="F66" s="1577" t="str">
        <f>FHD_P_30</f>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G66" s="1803" t="s">
        <v>351</v>
      </c>
      <c r="H66" s="1576" t="s">
        <v>621</v>
      </c>
      <c r="I66" s="1576" t="s">
        <v>621</v>
      </c>
      <c r="J66" s="227" t="str">
        <f>FHD_NOTE_P_30</f>
        <v/>
      </c>
      <c r="K66" s="1563" t="str">
        <f t="shared" si="0"/>
        <v/>
      </c>
      <c r="L66" s="1563">
        <f>IFERROR(MATCH("есть",B_FHD_FLAG_INDEX_1,0),0)</f>
        <v>0</v>
      </c>
      <c r="M66" s="1563"/>
      <c r="R66" s="1563"/>
      <c r="U66" s="481"/>
      <c r="AA66" s="1559"/>
      <c r="AB66" s="1559"/>
      <c r="AC66" s="1559"/>
      <c r="AD66" s="1559"/>
      <c r="AE66" s="1559"/>
      <c r="AF66" s="1087">
        <v>11</v>
      </c>
    </row>
    <row r="67" spans="1:32" s="1293" customFormat="1" ht="23.25" hidden="1" customHeight="1">
      <c r="A67" s="2982" t="s">
        <v>622</v>
      </c>
      <c r="C67" s="1563"/>
      <c r="D67" s="1565"/>
      <c r="E67" s="483" t="str">
        <f>FHD_NUM_P_31</f>
        <v/>
      </c>
      <c r="F67" s="1451" t="str">
        <f>FHD_P_31</f>
        <v/>
      </c>
      <c r="G67" s="1803" t="s">
        <v>598</v>
      </c>
      <c r="H67" s="494"/>
      <c r="I67" s="494"/>
      <c r="J67" s="227" t="str">
        <f>FHD_NOTE_P_31</f>
        <v/>
      </c>
      <c r="K67" s="1563" t="str">
        <f t="shared" si="0"/>
        <v/>
      </c>
      <c r="L67" s="1563"/>
      <c r="M67" s="1563"/>
      <c r="R67" s="1563"/>
      <c r="U67" s="481"/>
      <c r="AA67" s="1559"/>
      <c r="AB67" s="1559"/>
      <c r="AC67" s="1559"/>
      <c r="AD67" s="1559"/>
      <c r="AE67" s="1559"/>
      <c r="AF67" s="1087">
        <v>22</v>
      </c>
    </row>
    <row r="68" spans="1:32" s="1293" customFormat="1" ht="47.25" hidden="1" customHeight="1">
      <c r="A68" s="2982"/>
      <c r="C68" s="1563"/>
      <c r="D68" s="1565"/>
      <c r="E68" s="483" t="str">
        <f>FHD_NUM_P_32</f>
        <v/>
      </c>
      <c r="F68" s="1577" t="str">
        <f>FHD_P_32</f>
        <v/>
      </c>
      <c r="G68" s="1803" t="s">
        <v>351</v>
      </c>
      <c r="H68" s="1576" t="s">
        <v>621</v>
      </c>
      <c r="I68" s="1576" t="s">
        <v>621</v>
      </c>
      <c r="J68" s="227" t="str">
        <f>FHD_NOTE_P_32</f>
        <v/>
      </c>
      <c r="K68" s="1563" t="str">
        <f t="shared" si="0"/>
        <v/>
      </c>
      <c r="L68" s="1563">
        <f>IFERROR(MATCH("есть",B_FHD_FLAG_INDEX_2,0),0)</f>
        <v>0</v>
      </c>
      <c r="M68" s="1563"/>
      <c r="R68" s="1563"/>
      <c r="U68" s="481"/>
      <c r="AA68" s="1559"/>
      <c r="AB68" s="1559"/>
      <c r="AC68" s="1559"/>
      <c r="AD68" s="1559"/>
      <c r="AE68" s="1559"/>
      <c r="AF68" s="1087">
        <v>45</v>
      </c>
    </row>
    <row r="69" spans="1:32" s="1293" customFormat="1" ht="11.25" customHeight="1">
      <c r="A69" s="917"/>
      <c r="C69" s="1563"/>
      <c r="D69" s="1565"/>
      <c r="E69" s="483" t="str">
        <f>FHD_NUM_P_33</f>
        <v>2.13</v>
      </c>
      <c r="F69" s="1451" t="str">
        <f>FHD_P_33</f>
        <v>Прочие расходы, которые подлежат отнесению на регулируемые виды деятельности в соответствии с законодательством Российской Федерации</v>
      </c>
      <c r="G69" s="1804" t="s">
        <v>598</v>
      </c>
      <c r="H69" s="516">
        <f>SUM(H70:H71)</f>
        <v>0</v>
      </c>
      <c r="I69" s="516">
        <f>SUM(I70:I71)</f>
        <v>0</v>
      </c>
      <c r="J69" s="227" t="str">
        <f>FHD_NOTE_P_33</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K69" s="1563" t="str">
        <f t="shared" si="0"/>
        <v>p</v>
      </c>
      <c r="L69" s="1563"/>
      <c r="M69" s="1563"/>
      <c r="R69" s="1563"/>
      <c r="U69" s="481"/>
      <c r="AA69" s="1559"/>
      <c r="AB69" s="1559"/>
      <c r="AC69" s="1559"/>
      <c r="AD69" s="1559"/>
      <c r="AE69" s="1559"/>
      <c r="AF69" s="1087">
        <v>11</v>
      </c>
    </row>
    <row r="70" spans="1:32" s="1569" customFormat="1" ht="0.75" customHeight="1">
      <c r="A70" s="1094"/>
      <c r="D70" s="485"/>
      <c r="E70" s="943" t="str">
        <f>E69&amp;".0"</f>
        <v>2.13.0</v>
      </c>
      <c r="F70" s="921"/>
      <c r="G70" s="943"/>
      <c r="H70" s="922"/>
      <c r="I70" s="922"/>
      <c r="J70" s="923"/>
      <c r="K70" s="1563" t="str">
        <f t="shared" si="0"/>
        <v/>
      </c>
      <c r="AF70" s="1563">
        <v>1</v>
      </c>
    </row>
    <row r="71" spans="1:32" s="1293" customFormat="1" ht="15" customHeight="1">
      <c r="A71" s="917"/>
      <c r="C71" s="1563"/>
      <c r="D71" s="1560"/>
      <c r="E71" s="507"/>
      <c r="F71" s="508" t="s">
        <v>623</v>
      </c>
      <c r="G71" s="509"/>
      <c r="H71" s="510"/>
      <c r="I71" s="510"/>
      <c r="J71" s="239"/>
      <c r="K71" s="1563"/>
      <c r="L71" s="1563"/>
      <c r="M71" s="1563"/>
      <c r="R71" s="1563"/>
      <c r="U71" s="481"/>
      <c r="AA71" s="1559"/>
      <c r="AB71" s="1559"/>
      <c r="AC71" s="1559"/>
      <c r="AD71" s="1559"/>
      <c r="AE71" s="1559"/>
      <c r="AF71" s="1087">
        <v>14</v>
      </c>
    </row>
    <row r="72" spans="1:32" s="1293" customFormat="1" ht="18.75" customHeight="1">
      <c r="A72" s="919" t="s">
        <v>624</v>
      </c>
      <c r="C72" s="1563"/>
      <c r="D72" s="1565"/>
      <c r="E72" s="483" t="str">
        <f>FHD_NUM_P_34</f>
        <v>3</v>
      </c>
      <c r="F72" s="1805" t="str">
        <f>FHD_P_34</f>
        <v>Валовая прибыль (убытки) от реализации товаров и оказания услуг по регулируемому виду деятельности</v>
      </c>
      <c r="G72" s="1803" t="s">
        <v>598</v>
      </c>
      <c r="H72" s="494"/>
      <c r="I72" s="494"/>
      <c r="J72" s="227" t="str">
        <f>FHD_NOTE_P_34</f>
        <v/>
      </c>
      <c r="K72" s="480"/>
      <c r="L72" s="1563"/>
      <c r="M72" s="1563"/>
      <c r="R72" s="1563"/>
      <c r="U72" s="481"/>
      <c r="AA72" s="1559"/>
      <c r="AB72" s="1559"/>
      <c r="AC72" s="1559"/>
      <c r="AD72" s="1559"/>
      <c r="AE72" s="1559"/>
      <c r="AF72" s="1087">
        <v>0</v>
      </c>
    </row>
    <row r="73" spans="1:32" s="1293" customFormat="1" ht="20.25" customHeight="1">
      <c r="A73" s="917"/>
      <c r="C73" s="1563"/>
      <c r="D73" s="512"/>
      <c r="E73" s="483" t="str">
        <f>FHD_NUM_P_35</f>
        <v>4</v>
      </c>
      <c r="F73" s="1805" t="str">
        <f>FHD_P_35</f>
        <v>Чистая прибыль, полученная от регулируемого вида деятельности, в том числе:</v>
      </c>
      <c r="G73" s="1803" t="s">
        <v>598</v>
      </c>
      <c r="H73" s="494"/>
      <c r="I73" s="494"/>
      <c r="J73" s="227" t="str">
        <f>FHD_NOTE_P_35</f>
        <v>Указывается общая сумма чистой прибыли, полученной от регулируемого вида деятельности.</v>
      </c>
      <c r="K73" s="480"/>
      <c r="L73" s="1563"/>
      <c r="M73" s="1563"/>
      <c r="R73" s="1563"/>
      <c r="U73" s="481"/>
      <c r="AA73" s="1559"/>
      <c r="AB73" s="1559"/>
      <c r="AC73" s="1559"/>
      <c r="AD73" s="1559"/>
      <c r="AE73" s="1559"/>
      <c r="AF73" s="1087">
        <v>19</v>
      </c>
    </row>
    <row r="74" spans="1:32" s="1293" customFormat="1" ht="20.25" customHeight="1">
      <c r="A74" s="917"/>
      <c r="C74" s="1563"/>
      <c r="D74" s="1565"/>
      <c r="E74" s="483" t="str">
        <f>FHD_NUM_P_36</f>
        <v>4.1</v>
      </c>
      <c r="F74" s="1451" t="str">
        <f>FHD_P_36</f>
        <v>Размер расходования чистой прибыли на финансирование мероприятий, предусмотренных инвестиционной программой регулируемой организации</v>
      </c>
      <c r="G74" s="1803" t="s">
        <v>598</v>
      </c>
      <c r="H74" s="494"/>
      <c r="I74" s="494"/>
      <c r="J74" s="227" t="str">
        <f>FHD_NOTE_P_36</f>
        <v/>
      </c>
      <c r="K74" s="480"/>
      <c r="L74" s="1563"/>
      <c r="M74" s="1563"/>
      <c r="R74" s="1563"/>
      <c r="U74" s="481"/>
      <c r="AA74" s="1559"/>
      <c r="AB74" s="1559"/>
      <c r="AC74" s="1559"/>
      <c r="AD74" s="1559"/>
      <c r="AE74" s="1559"/>
      <c r="AF74" s="1087">
        <v>19</v>
      </c>
    </row>
    <row r="75" spans="1:32" s="1293" customFormat="1" ht="20.25" customHeight="1">
      <c r="A75" s="917"/>
      <c r="C75" s="1563"/>
      <c r="D75" s="1565"/>
      <c r="E75" s="483" t="str">
        <f>FHD_NUM_P_37</f>
        <v>5</v>
      </c>
      <c r="F75" s="1805" t="str">
        <f>FHD_P_37</f>
        <v>Изменение стоимости основных фондов, в том числе:</v>
      </c>
      <c r="G75" s="1803" t="s">
        <v>598</v>
      </c>
      <c r="H75" s="494"/>
      <c r="I75" s="494"/>
      <c r="J75" s="227" t="str">
        <f>FHD_NOTE_P_37</f>
        <v>Указывается общее изменение стоимости основных фондов.</v>
      </c>
      <c r="K75" s="480"/>
      <c r="L75" s="1563"/>
      <c r="M75" s="1563"/>
      <c r="R75" s="1563"/>
      <c r="U75" s="481"/>
      <c r="AA75" s="1559"/>
      <c r="AB75" s="1559"/>
      <c r="AC75" s="1559"/>
      <c r="AD75" s="1559"/>
      <c r="AE75" s="1559"/>
      <c r="AF75" s="1087">
        <v>19</v>
      </c>
    </row>
    <row r="76" spans="1:32" s="1293" customFormat="1" ht="20.25" customHeight="1">
      <c r="A76" s="917"/>
      <c r="C76" s="1563"/>
      <c r="D76" s="1565"/>
      <c r="E76" s="483" t="str">
        <f>FHD_NUM_P_38</f>
        <v>5.1</v>
      </c>
      <c r="F76" s="1451" t="str">
        <f>FHD_P_38</f>
        <v>Изменение стоимости основных фондов за счет:</v>
      </c>
      <c r="G76" s="1803" t="s">
        <v>598</v>
      </c>
      <c r="H76" s="494"/>
      <c r="I76" s="494"/>
      <c r="J76" s="227" t="str">
        <f>FHD_NOTE_P_38</f>
        <v>Указываются общее изменение стоимости основных фондов за счет их ввода в эксплуатацию и вывода из эксплуатации.</v>
      </c>
      <c r="K76" s="480"/>
      <c r="L76" s="1563"/>
      <c r="M76" s="1563"/>
      <c r="R76" s="1563"/>
      <c r="U76" s="481"/>
      <c r="AA76" s="1559"/>
      <c r="AB76" s="1559"/>
      <c r="AC76" s="1559"/>
      <c r="AD76" s="1559"/>
      <c r="AE76" s="1559"/>
      <c r="AF76" s="1087">
        <v>19</v>
      </c>
    </row>
    <row r="77" spans="1:32" s="1293" customFormat="1" ht="20.25" customHeight="1">
      <c r="A77" s="917"/>
      <c r="C77" s="1563"/>
      <c r="D77" s="1565"/>
      <c r="E77" s="483" t="str">
        <f>FHD_NUM_P_39</f>
        <v>5.1.1</v>
      </c>
      <c r="F77" s="1577" t="str">
        <f>FHD_P_39</f>
        <v>Изменения стоимости основных фондов за счет их ввода в эксплуатацию</v>
      </c>
      <c r="G77" s="1994" t="s">
        <v>598</v>
      </c>
      <c r="H77" s="494"/>
      <c r="I77" s="494"/>
      <c r="J77" s="227" t="str">
        <f>FHD_NOTE_P_39</f>
        <v>Указываются изменение стоимости основных фондов за счет их ввода в эксплуатацию.</v>
      </c>
      <c r="K77" s="480"/>
      <c r="L77" s="1563"/>
      <c r="M77" s="1563"/>
      <c r="R77" s="1563"/>
      <c r="U77" s="481"/>
      <c r="AA77" s="1559"/>
      <c r="AB77" s="1559"/>
      <c r="AC77" s="1559"/>
      <c r="AD77" s="1559"/>
      <c r="AE77" s="1559"/>
      <c r="AF77" s="1087">
        <v>19</v>
      </c>
    </row>
    <row r="78" spans="1:32" s="1293" customFormat="1" ht="20.25" customHeight="1">
      <c r="A78" s="917"/>
      <c r="C78" s="1563"/>
      <c r="D78" s="1565"/>
      <c r="E78" s="483" t="str">
        <f>FHD_NUM_P_40</f>
        <v>5.1.2</v>
      </c>
      <c r="F78" s="1998" t="str">
        <f>FHD_P_40</f>
        <v>Изменения стоимости основных фондов за счет их вывода в эксплуатацию</v>
      </c>
      <c r="G78" s="1993" t="s">
        <v>598</v>
      </c>
      <c r="H78" s="906"/>
      <c r="I78" s="494"/>
      <c r="J78" s="227" t="str">
        <f>FHD_NOTE_P_40</f>
        <v>Указываются изменение стоимости основных фондов за счет их вывода из эксплуатации.</v>
      </c>
      <c r="K78" s="480"/>
      <c r="L78" s="1563"/>
      <c r="M78" s="1563"/>
      <c r="R78" s="1563"/>
      <c r="U78" s="481"/>
      <c r="AA78" s="1559"/>
      <c r="AB78" s="1559"/>
      <c r="AC78" s="1559"/>
      <c r="AD78" s="1559"/>
      <c r="AE78" s="1559"/>
      <c r="AF78" s="1087">
        <v>19</v>
      </c>
    </row>
    <row r="79" spans="1:32" s="1293" customFormat="1" ht="20.25" customHeight="1">
      <c r="A79" s="917"/>
      <c r="C79" s="1563"/>
      <c r="D79" s="1565"/>
      <c r="E79" s="483" t="str">
        <f>FHD_NUM_P_41</f>
        <v>5.2</v>
      </c>
      <c r="F79" s="1997" t="str">
        <f>FHD_P_41</f>
        <v>Изменение стоимости основных фондов за счет их переоценки</v>
      </c>
      <c r="G79" s="1993" t="s">
        <v>598</v>
      </c>
      <c r="H79" s="906"/>
      <c r="I79" s="494"/>
      <c r="J79" s="227" t="str">
        <f>FHD_NOTE_P_41</f>
        <v/>
      </c>
      <c r="K79" s="480"/>
      <c r="L79" s="1563"/>
      <c r="M79" s="1563"/>
      <c r="R79" s="1563"/>
      <c r="U79" s="481"/>
      <c r="AA79" s="1559"/>
      <c r="AB79" s="1559"/>
      <c r="AC79" s="1559"/>
      <c r="AD79" s="1559"/>
      <c r="AE79" s="1559"/>
      <c r="AF79" s="1087">
        <v>19</v>
      </c>
    </row>
    <row r="80" spans="1:32" s="1293" customFormat="1" ht="20.25" hidden="1" customHeight="1">
      <c r="A80" s="919" t="s">
        <v>625</v>
      </c>
      <c r="C80" s="1563"/>
      <c r="D80" s="1565"/>
      <c r="E80" s="483" t="str">
        <f>FHD_NUM_P_42</f>
        <v/>
      </c>
      <c r="F80" s="1995" t="str">
        <f>FHD_P_42</f>
        <v/>
      </c>
      <c r="G80" s="1993" t="s">
        <v>598</v>
      </c>
      <c r="H80" s="906"/>
      <c r="I80" s="494"/>
      <c r="J80" s="227" t="str">
        <f>FHD_NOTE_P_42</f>
        <v/>
      </c>
      <c r="K80" s="480"/>
      <c r="L80" s="1563"/>
      <c r="M80" s="1563"/>
      <c r="R80" s="1563"/>
      <c r="U80" s="481"/>
      <c r="AA80" s="1559"/>
      <c r="AB80" s="1559"/>
      <c r="AC80" s="1559"/>
      <c r="AD80" s="1559"/>
      <c r="AE80" s="1559"/>
      <c r="AF80" s="1087">
        <v>19</v>
      </c>
    </row>
    <row r="81" spans="1:32" s="1293" customFormat="1" ht="20.25" customHeight="1">
      <c r="A81" s="917"/>
      <c r="C81" s="1563"/>
      <c r="D81" s="1565"/>
      <c r="E81" s="483" t="str">
        <f>FHD_NUM_P_43</f>
        <v>6</v>
      </c>
      <c r="F81" s="1805" t="str">
        <f>FHD_P_43</f>
        <v>Годовая бухгалтерская (финансовая) отчетность, включая бухгалтерский баланс и приложения к нему</v>
      </c>
      <c r="G81" s="1996" t="s">
        <v>351</v>
      </c>
      <c r="H81" s="985"/>
      <c r="I81" s="749"/>
      <c r="J81" s="227" t="str">
        <f>FHD_NOTE_P_43</f>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K81" s="480"/>
      <c r="L81" s="1563"/>
      <c r="M81" s="1563"/>
      <c r="R81" s="1563"/>
      <c r="U81" s="481"/>
      <c r="AA81" s="1559"/>
      <c r="AB81" s="1559"/>
      <c r="AC81" s="1559"/>
      <c r="AD81" s="1559"/>
      <c r="AE81" s="1559"/>
      <c r="AF81" s="1087">
        <v>19</v>
      </c>
    </row>
    <row r="82" spans="1:32" s="1293" customFormat="1" ht="18.75" hidden="1" customHeight="1">
      <c r="A82" s="2982" t="s">
        <v>626</v>
      </c>
      <c r="C82" s="672"/>
      <c r="D82" s="670"/>
      <c r="E82" s="483" t="str">
        <f>FHD_NUM_P_44</f>
        <v/>
      </c>
      <c r="F82" s="1805" t="str">
        <f>FHD_P_44</f>
        <v/>
      </c>
      <c r="G82" s="1806" t="s">
        <v>627</v>
      </c>
      <c r="H82" s="907"/>
      <c r="I82" s="514"/>
      <c r="J82" s="227" t="str">
        <f>FHD_NOTE_P_44</f>
        <v/>
      </c>
      <c r="K82" s="671"/>
      <c r="L82" s="672"/>
      <c r="M82" s="672"/>
      <c r="R82" s="672"/>
      <c r="U82" s="673"/>
      <c r="AA82" s="674"/>
      <c r="AB82" s="674"/>
      <c r="AC82" s="674"/>
      <c r="AD82" s="674"/>
      <c r="AE82" s="674"/>
      <c r="AF82" s="840">
        <v>0</v>
      </c>
    </row>
    <row r="83" spans="1:32" s="1293" customFormat="1" ht="18.75" hidden="1" customHeight="1">
      <c r="A83" s="2982"/>
      <c r="C83" s="672"/>
      <c r="D83" s="670"/>
      <c r="E83" s="483" t="str">
        <f>FHD_NUM_P_45</f>
        <v/>
      </c>
      <c r="F83" s="1805" t="str">
        <f>FHD_P_45</f>
        <v/>
      </c>
      <c r="G83" s="1806" t="s">
        <v>627</v>
      </c>
      <c r="H83" s="907"/>
      <c r="I83" s="514"/>
      <c r="J83" s="227" t="str">
        <f>FHD_NOTE_P_45</f>
        <v/>
      </c>
      <c r="K83" s="671"/>
      <c r="L83" s="672"/>
      <c r="M83" s="672"/>
      <c r="R83" s="672"/>
      <c r="U83" s="673"/>
      <c r="AA83" s="674"/>
      <c r="AB83" s="674"/>
      <c r="AC83" s="674"/>
      <c r="AD83" s="674"/>
      <c r="AE83" s="674"/>
      <c r="AF83" s="840">
        <v>0</v>
      </c>
    </row>
    <row r="84" spans="1:32" s="1293" customFormat="1" ht="18.75" hidden="1" customHeight="1">
      <c r="A84" s="2982"/>
      <c r="C84" s="672"/>
      <c r="D84" s="675"/>
      <c r="E84" s="483" t="str">
        <f>FHD_NUM_P_46</f>
        <v/>
      </c>
      <c r="F84" s="1805" t="str">
        <f>FHD_P_46</f>
        <v/>
      </c>
      <c r="G84" s="1806" t="s">
        <v>627</v>
      </c>
      <c r="H84" s="907"/>
      <c r="I84" s="514"/>
      <c r="J84" s="227" t="str">
        <f>FHD_NOTE_P_46</f>
        <v/>
      </c>
      <c r="K84" s="671"/>
      <c r="L84" s="672"/>
      <c r="M84" s="672"/>
      <c r="R84" s="672"/>
      <c r="U84" s="673"/>
      <c r="AA84" s="674"/>
      <c r="AB84" s="674"/>
      <c r="AC84" s="674"/>
      <c r="AD84" s="674"/>
      <c r="AE84" s="674"/>
      <c r="AF84" s="840">
        <v>0</v>
      </c>
    </row>
    <row r="85" spans="1:32" s="1293" customFormat="1" ht="18.75" hidden="1" customHeight="1">
      <c r="A85" s="2982"/>
      <c r="C85" s="672"/>
      <c r="D85" s="670"/>
      <c r="E85" s="483" t="str">
        <f>FHD_NUM_P_47</f>
        <v/>
      </c>
      <c r="F85" s="1805" t="str">
        <f>FHD_P_47</f>
        <v/>
      </c>
      <c r="G85" s="1806" t="s">
        <v>627</v>
      </c>
      <c r="H85" s="907"/>
      <c r="I85" s="514"/>
      <c r="J85" s="227" t="str">
        <f>FHD_NOTE_P_47</f>
        <v/>
      </c>
      <c r="K85" s="671"/>
      <c r="L85" s="672"/>
      <c r="M85" s="672"/>
      <c r="R85" s="672"/>
      <c r="U85" s="673"/>
      <c r="AA85" s="674"/>
      <c r="AB85" s="674"/>
      <c r="AC85" s="674"/>
      <c r="AD85" s="674"/>
      <c r="AE85" s="674"/>
      <c r="AF85" s="840">
        <v>0</v>
      </c>
    </row>
    <row r="86" spans="1:32" s="1562" customFormat="1" ht="18.75" hidden="1" customHeight="1">
      <c r="A86" s="2982"/>
      <c r="B86" s="840"/>
      <c r="C86" s="672"/>
      <c r="D86" s="670"/>
      <c r="E86" s="483" t="str">
        <f>FHD_NUM_P_48</f>
        <v/>
      </c>
      <c r="F86" s="1805" t="str">
        <f>FHD_P_48</f>
        <v/>
      </c>
      <c r="G86" s="1806" t="s">
        <v>627</v>
      </c>
      <c r="H86" s="907"/>
      <c r="I86" s="514"/>
      <c r="J86" s="227" t="str">
        <f>FHD_NOTE_P_48</f>
        <v/>
      </c>
      <c r="K86" s="671"/>
      <c r="L86" s="672"/>
      <c r="M86" s="672"/>
      <c r="N86" s="840"/>
      <c r="O86" s="840"/>
      <c r="P86" s="840"/>
      <c r="Q86" s="840"/>
      <c r="R86" s="672"/>
      <c r="S86" s="840"/>
      <c r="T86" s="840"/>
      <c r="U86" s="673"/>
      <c r="V86" s="840"/>
      <c r="W86" s="840"/>
      <c r="X86" s="840"/>
      <c r="Y86" s="840"/>
      <c r="Z86" s="840"/>
      <c r="AA86" s="674"/>
      <c r="AB86" s="674"/>
      <c r="AC86" s="674"/>
      <c r="AD86" s="674"/>
      <c r="AE86" s="674"/>
      <c r="AF86" s="676">
        <v>0</v>
      </c>
    </row>
    <row r="87" spans="1:32" s="1562" customFormat="1" ht="18.75" hidden="1" customHeight="1">
      <c r="A87" s="2982"/>
      <c r="B87" s="840"/>
      <c r="C87" s="672"/>
      <c r="D87" s="670"/>
      <c r="E87" s="483" t="str">
        <f>FHD_NUM_P_49</f>
        <v/>
      </c>
      <c r="F87" s="1805" t="str">
        <f>FHD_P_49</f>
        <v/>
      </c>
      <c r="G87" s="1806" t="s">
        <v>627</v>
      </c>
      <c r="H87" s="908">
        <f>SUM(H88:H89)</f>
        <v>0</v>
      </c>
      <c r="I87" s="686">
        <f>SUM(I88:I89)</f>
        <v>0</v>
      </c>
      <c r="J87" s="227" t="str">
        <f>FHD_NOTE_P_49</f>
        <v/>
      </c>
      <c r="K87" s="671"/>
      <c r="L87" s="672"/>
      <c r="M87" s="672"/>
      <c r="N87" s="840"/>
      <c r="O87" s="840"/>
      <c r="P87" s="840"/>
      <c r="Q87" s="840"/>
      <c r="R87" s="672"/>
      <c r="S87" s="840"/>
      <c r="T87" s="840"/>
      <c r="U87" s="673"/>
      <c r="V87" s="840"/>
      <c r="W87" s="840"/>
      <c r="X87" s="840"/>
      <c r="Y87" s="840"/>
      <c r="Z87" s="840"/>
      <c r="AA87" s="674"/>
      <c r="AB87" s="674"/>
      <c r="AC87" s="674"/>
      <c r="AD87" s="674"/>
      <c r="AE87" s="674"/>
      <c r="AF87" s="676">
        <v>0</v>
      </c>
    </row>
    <row r="88" spans="1:32" s="1562" customFormat="1" ht="18.75" hidden="1" customHeight="1">
      <c r="A88" s="2982"/>
      <c r="B88" s="840"/>
      <c r="C88" s="672"/>
      <c r="D88" s="670"/>
      <c r="E88" s="483" t="str">
        <f>FHD_NUM_P_50</f>
        <v/>
      </c>
      <c r="F88" s="1805" t="str">
        <f>FHD_P_50</f>
        <v/>
      </c>
      <c r="G88" s="1806" t="s">
        <v>627</v>
      </c>
      <c r="H88" s="907"/>
      <c r="I88" s="514"/>
      <c r="J88" s="227" t="str">
        <f>FHD_NOTE_P_50</f>
        <v/>
      </c>
      <c r="K88" s="671"/>
      <c r="L88" s="672"/>
      <c r="M88" s="672"/>
      <c r="N88" s="840"/>
      <c r="O88" s="840"/>
      <c r="P88" s="840"/>
      <c r="Q88" s="840"/>
      <c r="R88" s="672"/>
      <c r="S88" s="840"/>
      <c r="T88" s="840"/>
      <c r="U88" s="673"/>
      <c r="V88" s="840"/>
      <c r="W88" s="840"/>
      <c r="X88" s="840"/>
      <c r="Y88" s="840"/>
      <c r="Z88" s="840"/>
      <c r="AA88" s="674"/>
      <c r="AB88" s="674"/>
      <c r="AC88" s="674"/>
      <c r="AD88" s="674"/>
      <c r="AE88" s="674"/>
      <c r="AF88" s="676">
        <v>0</v>
      </c>
    </row>
    <row r="89" spans="1:32" s="1562" customFormat="1" ht="18.75" hidden="1" customHeight="1">
      <c r="A89" s="2982"/>
      <c r="B89" s="840"/>
      <c r="C89" s="672"/>
      <c r="D89" s="670"/>
      <c r="E89" s="483" t="str">
        <f>FHD_NUM_P_51</f>
        <v/>
      </c>
      <c r="F89" s="1805" t="str">
        <f>FHD_P_51</f>
        <v/>
      </c>
      <c r="G89" s="1806" t="s">
        <v>627</v>
      </c>
      <c r="H89" s="907"/>
      <c r="I89" s="514"/>
      <c r="J89" s="227" t="str">
        <f>FHD_NOTE_P_51</f>
        <v/>
      </c>
      <c r="K89" s="671"/>
      <c r="L89" s="672"/>
      <c r="M89" s="672"/>
      <c r="N89" s="840"/>
      <c r="O89" s="840"/>
      <c r="P89" s="840"/>
      <c r="Q89" s="840"/>
      <c r="R89" s="672"/>
      <c r="S89" s="840"/>
      <c r="T89" s="840"/>
      <c r="U89" s="673"/>
      <c r="V89" s="840"/>
      <c r="W89" s="840"/>
      <c r="X89" s="840"/>
      <c r="Y89" s="840"/>
      <c r="Z89" s="840"/>
      <c r="AA89" s="674"/>
      <c r="AB89" s="674"/>
      <c r="AC89" s="674"/>
      <c r="AD89" s="674"/>
      <c r="AE89" s="674"/>
      <c r="AF89" s="676">
        <v>0</v>
      </c>
    </row>
    <row r="90" spans="1:32" s="1562" customFormat="1" ht="18.75" hidden="1" customHeight="1">
      <c r="A90" s="2982"/>
      <c r="B90" s="840"/>
      <c r="C90" s="672"/>
      <c r="D90" s="670"/>
      <c r="E90" s="483" t="str">
        <f>FHD_NUM_P_52</f>
        <v/>
      </c>
      <c r="F90" s="1805" t="str">
        <f>FHD_P_52</f>
        <v/>
      </c>
      <c r="G90" s="1806" t="s">
        <v>604</v>
      </c>
      <c r="H90" s="906"/>
      <c r="I90" s="494"/>
      <c r="J90" s="227" t="str">
        <f>FHD_NOTE_P_52</f>
        <v/>
      </c>
      <c r="K90" s="671"/>
      <c r="L90" s="672"/>
      <c r="M90" s="672"/>
      <c r="N90" s="840"/>
      <c r="O90" s="840"/>
      <c r="P90" s="840"/>
      <c r="Q90" s="840"/>
      <c r="R90" s="672"/>
      <c r="S90" s="840"/>
      <c r="T90" s="840"/>
      <c r="U90" s="673"/>
      <c r="V90" s="840"/>
      <c r="W90" s="840"/>
      <c r="X90" s="840"/>
      <c r="Y90" s="840"/>
      <c r="Z90" s="840"/>
      <c r="AA90" s="674"/>
      <c r="AB90" s="674"/>
      <c r="AC90" s="674"/>
      <c r="AD90" s="674"/>
      <c r="AE90" s="674"/>
      <c r="AF90" s="676">
        <v>0</v>
      </c>
    </row>
    <row r="91" spans="1:32" s="1293" customFormat="1" ht="18.75" hidden="1" customHeight="1">
      <c r="A91" s="2982" t="s">
        <v>628</v>
      </c>
      <c r="C91" s="672"/>
      <c r="D91" s="670"/>
      <c r="E91" s="483" t="str">
        <f>FHD_NUM_P_53</f>
        <v/>
      </c>
      <c r="F91" s="1805" t="str">
        <f>FHD_P_53</f>
        <v/>
      </c>
      <c r="G91" s="1806" t="s">
        <v>627</v>
      </c>
      <c r="H91" s="907"/>
      <c r="I91" s="514"/>
      <c r="J91" s="227" t="str">
        <f>FHD_NOTE_P_53</f>
        <v/>
      </c>
      <c r="K91" s="671"/>
      <c r="L91" s="672"/>
      <c r="M91" s="672"/>
      <c r="R91" s="672"/>
      <c r="U91" s="673"/>
      <c r="AA91" s="674"/>
      <c r="AB91" s="674"/>
      <c r="AC91" s="674"/>
      <c r="AD91" s="674"/>
      <c r="AE91" s="674"/>
      <c r="AF91" s="840">
        <v>0</v>
      </c>
    </row>
    <row r="92" spans="1:32" s="1293" customFormat="1" ht="18.75" hidden="1" customHeight="1">
      <c r="A92" s="2982"/>
      <c r="C92" s="672"/>
      <c r="D92" s="670"/>
      <c r="E92" s="483" t="str">
        <f>FHD_NUM_P_54</f>
        <v/>
      </c>
      <c r="F92" s="1805" t="str">
        <f>FHD_P_54</f>
        <v/>
      </c>
      <c r="G92" s="1806" t="s">
        <v>627</v>
      </c>
      <c r="H92" s="907"/>
      <c r="I92" s="514"/>
      <c r="J92" s="227" t="str">
        <f>FHD_NOTE_P_54</f>
        <v/>
      </c>
      <c r="K92" s="671"/>
      <c r="L92" s="672"/>
      <c r="M92" s="672"/>
      <c r="R92" s="672"/>
      <c r="U92" s="673"/>
      <c r="AA92" s="674"/>
      <c r="AB92" s="674"/>
      <c r="AC92" s="674"/>
      <c r="AD92" s="674"/>
      <c r="AE92" s="674"/>
      <c r="AF92" s="840">
        <v>0</v>
      </c>
    </row>
    <row r="93" spans="1:32" s="1293" customFormat="1" ht="18.75" hidden="1" customHeight="1">
      <c r="A93" s="2982"/>
      <c r="C93" s="672"/>
      <c r="D93" s="675"/>
      <c r="E93" s="483" t="str">
        <f>FHD_NUM_P_55</f>
        <v/>
      </c>
      <c r="F93" s="1805" t="str">
        <f>FHD_P_55</f>
        <v/>
      </c>
      <c r="G93" s="1809"/>
      <c r="H93" s="907"/>
      <c r="I93" s="514"/>
      <c r="J93" s="227" t="str">
        <f>FHD_NOTE_P_55</f>
        <v/>
      </c>
      <c r="K93" s="671"/>
      <c r="L93" s="672"/>
      <c r="M93" s="672"/>
      <c r="R93" s="672"/>
      <c r="U93" s="673"/>
      <c r="AA93" s="674"/>
      <c r="AB93" s="674"/>
      <c r="AC93" s="674"/>
      <c r="AD93" s="674"/>
      <c r="AE93" s="674"/>
      <c r="AF93" s="840">
        <v>0</v>
      </c>
    </row>
    <row r="94" spans="1:32" s="1293" customFormat="1" ht="18.75" hidden="1" customHeight="1">
      <c r="A94" s="2982"/>
      <c r="C94" s="672"/>
      <c r="D94" s="670"/>
      <c r="E94" s="483" t="str">
        <f>FHD_NUM_P_56</f>
        <v/>
      </c>
      <c r="F94" s="1805" t="str">
        <f>FHD_P_56</f>
        <v/>
      </c>
      <c r="G94" s="1806" t="s">
        <v>629</v>
      </c>
      <c r="H94" s="907"/>
      <c r="I94" s="514"/>
      <c r="J94" s="227" t="str">
        <f>FHD_NOTE_P_56</f>
        <v/>
      </c>
      <c r="K94" s="671"/>
      <c r="L94" s="672"/>
      <c r="M94" s="672"/>
      <c r="R94" s="672"/>
      <c r="U94" s="673"/>
      <c r="AA94" s="674"/>
      <c r="AB94" s="674"/>
      <c r="AC94" s="674"/>
      <c r="AD94" s="674"/>
      <c r="AE94" s="674"/>
      <c r="AF94" s="840">
        <v>0</v>
      </c>
    </row>
    <row r="95" spans="1:32" s="1562" customFormat="1" ht="18.75" hidden="1" customHeight="1">
      <c r="A95" s="2982"/>
      <c r="B95" s="840"/>
      <c r="C95" s="672"/>
      <c r="D95" s="670"/>
      <c r="E95" s="483" t="str">
        <f>FHD_NUM_P_57</f>
        <v/>
      </c>
      <c r="F95" s="1805" t="str">
        <f>FHD_P_57</f>
        <v/>
      </c>
      <c r="G95" s="1806" t="s">
        <v>604</v>
      </c>
      <c r="H95" s="906"/>
      <c r="I95" s="494"/>
      <c r="J95" s="227" t="str">
        <f>FHD_NOTE_P_57</f>
        <v/>
      </c>
      <c r="K95" s="671"/>
      <c r="L95" s="672"/>
      <c r="M95" s="672"/>
      <c r="N95" s="840"/>
      <c r="O95" s="840"/>
      <c r="P95" s="840"/>
      <c r="Q95" s="840"/>
      <c r="R95" s="672"/>
      <c r="S95" s="840"/>
      <c r="T95" s="840"/>
      <c r="U95" s="673"/>
      <c r="V95" s="840"/>
      <c r="W95" s="840"/>
      <c r="X95" s="840"/>
      <c r="Y95" s="840"/>
      <c r="Z95" s="840"/>
      <c r="AA95" s="674"/>
      <c r="AB95" s="674"/>
      <c r="AC95" s="674"/>
      <c r="AD95" s="674"/>
      <c r="AE95" s="674"/>
      <c r="AF95" s="676">
        <v>0</v>
      </c>
    </row>
    <row r="96" spans="1:32" ht="18.75" hidden="1" customHeight="1">
      <c r="A96" s="2982" t="s">
        <v>630</v>
      </c>
      <c r="D96" s="1565"/>
      <c r="E96" s="483" t="str">
        <f>FHD_NUM_P_58</f>
        <v/>
      </c>
      <c r="F96" s="1805" t="str">
        <f>FHD_P_58</f>
        <v/>
      </c>
      <c r="G96" s="1806" t="s">
        <v>627</v>
      </c>
      <c r="H96" s="907"/>
      <c r="I96" s="514"/>
      <c r="J96" s="227" t="str">
        <f>FHD_NOTE_P_58</f>
        <v/>
      </c>
      <c r="K96" s="480"/>
      <c r="AF96" s="1558">
        <v>0</v>
      </c>
    </row>
    <row r="97" spans="1:32" ht="18.75" hidden="1" customHeight="1">
      <c r="A97" s="2982"/>
      <c r="D97" s="1565"/>
      <c r="E97" s="483" t="str">
        <f>FHD_NUM_P_59</f>
        <v/>
      </c>
      <c r="F97" s="1805" t="str">
        <f>FHD_P_59</f>
        <v/>
      </c>
      <c r="G97" s="1806" t="s">
        <v>627</v>
      </c>
      <c r="H97" s="907"/>
      <c r="I97" s="514"/>
      <c r="J97" s="227" t="str">
        <f>FHD_NOTE_P_59</f>
        <v/>
      </c>
      <c r="K97" s="480"/>
      <c r="AF97" s="1558">
        <v>0</v>
      </c>
    </row>
    <row r="98" spans="1:32" ht="18.75" hidden="1" customHeight="1">
      <c r="A98" s="2982"/>
      <c r="D98" s="1565"/>
      <c r="E98" s="483" t="str">
        <f>FHD_NUM_P_60</f>
        <v/>
      </c>
      <c r="F98" s="1805" t="str">
        <f>FHD_P_60</f>
        <v/>
      </c>
      <c r="G98" s="1806" t="s">
        <v>627</v>
      </c>
      <c r="H98" s="907"/>
      <c r="I98" s="514"/>
      <c r="J98" s="227" t="str">
        <f>FHD_NOTE_P_60</f>
        <v/>
      </c>
      <c r="K98" s="480"/>
      <c r="AF98" s="1558">
        <v>0</v>
      </c>
    </row>
    <row r="99" spans="1:32" s="1293" customFormat="1" ht="18.75" customHeight="1">
      <c r="A99" s="2982" t="s">
        <v>631</v>
      </c>
      <c r="C99" s="1563"/>
      <c r="D99" s="1565"/>
      <c r="E99" s="483" t="str">
        <f>FHD_NUM_P_61</f>
        <v>7</v>
      </c>
      <c r="F99" s="1805" t="str">
        <f>FHD_P_61</f>
        <v>Установленная тепловая мощность объектов основных фондов, используемых для теплоснабжения, в том числе по каждому источнику тепловой энергии</v>
      </c>
      <c r="G99" s="1803" t="s">
        <v>602</v>
      </c>
      <c r="H99" s="909"/>
      <c r="I99" s="679"/>
      <c r="J99" s="227" t="str">
        <f>FHD_NOTE_P_61</f>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K99" s="480"/>
      <c r="L99" s="1563"/>
      <c r="M99" s="1563"/>
      <c r="R99" s="1563"/>
      <c r="U99" s="481"/>
      <c r="AA99" s="1559"/>
      <c r="AB99" s="1559"/>
      <c r="AC99" s="1559"/>
      <c r="AD99" s="1559"/>
      <c r="AE99" s="1559"/>
      <c r="AF99" s="1087">
        <v>0</v>
      </c>
    </row>
    <row r="100" spans="1:32" s="1569" customFormat="1" ht="0.75" customHeight="1">
      <c r="A100" s="2982"/>
      <c r="D100" s="485"/>
      <c r="E100" s="943" t="str">
        <f>E99&amp;".0"</f>
        <v>7.0</v>
      </c>
      <c r="F100" s="924"/>
      <c r="G100" s="925"/>
      <c r="H100" s="922"/>
      <c r="I100" s="922"/>
      <c r="J100" s="926"/>
      <c r="AF100" s="1563">
        <v>0</v>
      </c>
    </row>
    <row r="101" spans="1:32" ht="15" customHeight="1">
      <c r="A101" s="2982"/>
      <c r="D101" s="1560"/>
      <c r="E101" s="901"/>
      <c r="F101" s="902" t="s">
        <v>632</v>
      </c>
      <c r="G101" s="509"/>
      <c r="H101" s="510"/>
      <c r="I101" s="510"/>
      <c r="J101" s="934" t="s">
        <v>633</v>
      </c>
      <c r="K101" s="480"/>
      <c r="AF101" s="1558">
        <v>0</v>
      </c>
    </row>
    <row r="102" spans="1:32" s="1293" customFormat="1" ht="18.75" customHeight="1">
      <c r="A102" s="2982"/>
      <c r="C102" s="1563"/>
      <c r="D102" s="1565"/>
      <c r="E102" s="483" t="str">
        <f>FHD_NUM_P_62</f>
        <v>8</v>
      </c>
      <c r="F102" s="1805" t="str">
        <f>FHD_P_62</f>
        <v>Тепловая нагрузка по договорам, заключенным в рамках осуществления регулируемых видов деятельности</v>
      </c>
      <c r="G102" s="1802" t="s">
        <v>602</v>
      </c>
      <c r="H102" s="494"/>
      <c r="I102" s="494"/>
      <c r="J102" s="227" t="str">
        <f>FHD_NOTE_P_62</f>
        <v>Регулируемыми организациями указывается информация по договорам, заключенным в рамках осуществления регулируемых видов деятельности</v>
      </c>
      <c r="K102" s="480"/>
      <c r="L102" s="1563"/>
      <c r="M102" s="1563"/>
      <c r="R102" s="1563"/>
      <c r="U102" s="481"/>
      <c r="AA102" s="1559"/>
      <c r="AB102" s="1559"/>
      <c r="AC102" s="1559"/>
      <c r="AD102" s="1559"/>
      <c r="AE102" s="1559"/>
      <c r="AF102" s="1087">
        <v>0</v>
      </c>
    </row>
    <row r="103" spans="1:32" s="1293" customFormat="1" ht="18.75" customHeight="1">
      <c r="A103" s="2982"/>
      <c r="C103" s="1563"/>
      <c r="D103" s="1565"/>
      <c r="E103" s="483" t="str">
        <f>FHD_NUM_P_63</f>
        <v>9</v>
      </c>
      <c r="F103" s="1805" t="str">
        <f>FHD_P_63</f>
        <v>Объем вырабатываемой регулируемой организацией тепловой энергии в рамках осуществления регулируемых видов деятельности</v>
      </c>
      <c r="G103" s="1802" t="s">
        <v>629</v>
      </c>
      <c r="H103" s="514"/>
      <c r="I103" s="514"/>
      <c r="J103" s="227" t="str">
        <f>FHD_NOTE_P_63</f>
        <v>Регулируемыми организациями указывается информация тепловой энергии, выработанной в рамках осуществления регулируемых видов деятельности.</v>
      </c>
      <c r="K103" s="480"/>
      <c r="L103" s="1563"/>
      <c r="M103" s="1563"/>
      <c r="R103" s="1563"/>
      <c r="U103" s="481"/>
      <c r="AA103" s="1559"/>
      <c r="AB103" s="1559"/>
      <c r="AC103" s="1559"/>
      <c r="AD103" s="1559"/>
      <c r="AE103" s="1559"/>
      <c r="AF103" s="1087">
        <v>0</v>
      </c>
    </row>
    <row r="104" spans="1:32" s="1293" customFormat="1" ht="18.75" customHeight="1">
      <c r="A104" s="2982"/>
      <c r="C104" s="1563" t="s">
        <v>634</v>
      </c>
      <c r="D104" s="1565"/>
      <c r="E104" s="483" t="str">
        <f>FHD_NUM_P_64</f>
        <v>9.1</v>
      </c>
      <c r="F104" s="1805" t="str">
        <f>FHD_P_64</f>
        <v>Объем приобретаемой регулируемой организацией тепловой энергии в рамках осуществления регулируемых видов деятельности</v>
      </c>
      <c r="G104" s="1802" t="s">
        <v>629</v>
      </c>
      <c r="H104" s="482"/>
      <c r="I104" s="482"/>
      <c r="J104" s="227" t="str">
        <f>FHD_NOTE_P_64</f>
        <v>Информация указывается только едиными теплоснабжающими организациями.</v>
      </c>
      <c r="K104" s="480"/>
      <c r="L104" s="1563"/>
      <c r="M104" s="1563"/>
      <c r="R104" s="1563"/>
      <c r="U104" s="481"/>
      <c r="AA104" s="1559"/>
      <c r="AB104" s="1559"/>
      <c r="AC104" s="1559"/>
      <c r="AD104" s="1559"/>
      <c r="AE104" s="1559"/>
      <c r="AF104" s="1087">
        <v>0</v>
      </c>
    </row>
    <row r="105" spans="1:32" s="1293" customFormat="1" ht="18.75" customHeight="1">
      <c r="A105" s="2982"/>
      <c r="C105" s="1563"/>
      <c r="D105" s="1565"/>
      <c r="E105" s="483" t="str">
        <f>FHD_NUM_P_65</f>
        <v>10</v>
      </c>
      <c r="F105" s="1805" t="str">
        <f>FHD_P_65</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G105" s="1802" t="s">
        <v>629</v>
      </c>
      <c r="H105" s="514"/>
      <c r="I105" s="514"/>
      <c r="J105" s="227" t="str">
        <f>FHD_NOTE_P_65</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K105" s="480"/>
      <c r="L105" s="1563"/>
      <c r="M105" s="1563"/>
      <c r="R105" s="1563"/>
      <c r="U105" s="481"/>
      <c r="AA105" s="1559"/>
      <c r="AB105" s="1559"/>
      <c r="AC105" s="1559"/>
      <c r="AD105" s="1559"/>
      <c r="AE105" s="1559"/>
      <c r="AF105" s="1087">
        <v>0</v>
      </c>
    </row>
    <row r="106" spans="1:32" s="1293" customFormat="1" ht="18.75" customHeight="1">
      <c r="A106" s="2982"/>
      <c r="C106" s="1563"/>
      <c r="D106" s="1565"/>
      <c r="E106" s="483" t="str">
        <f>FHD_NUM_P_66</f>
        <v>10.1</v>
      </c>
      <c r="F106" s="1451" t="str">
        <f>FHD_P_66</f>
        <v xml:space="preserve">По приборам учёта </v>
      </c>
      <c r="G106" s="1802" t="s">
        <v>629</v>
      </c>
      <c r="H106" s="514"/>
      <c r="I106" s="514"/>
      <c r="J106" s="227" t="str">
        <f>FHD_NOTE_P_66</f>
        <v/>
      </c>
      <c r="K106" s="480"/>
      <c r="L106" s="1563"/>
      <c r="M106" s="1563"/>
      <c r="R106" s="1563"/>
      <c r="U106" s="481"/>
      <c r="AA106" s="1559"/>
      <c r="AB106" s="1559"/>
      <c r="AC106" s="1559"/>
      <c r="AD106" s="1559"/>
      <c r="AE106" s="1559"/>
      <c r="AF106" s="1087">
        <v>0</v>
      </c>
    </row>
    <row r="107" spans="1:32" s="1293" customFormat="1" ht="18.75" customHeight="1">
      <c r="A107" s="2982"/>
      <c r="C107" s="1563"/>
      <c r="D107" s="1565"/>
      <c r="E107" s="483" t="str">
        <f>FHD_NUM_P_67</f>
        <v>10.1.1</v>
      </c>
      <c r="F107" s="1577" t="str">
        <f>FHD_P_67</f>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G107" s="1802" t="s">
        <v>629</v>
      </c>
      <c r="H107" s="514"/>
      <c r="I107" s="514"/>
      <c r="J107" s="227" t="str">
        <f>FHD_NOTE_P_67</f>
        <v/>
      </c>
      <c r="K107" s="480"/>
      <c r="L107" s="1563"/>
      <c r="M107" s="1563"/>
      <c r="R107" s="1563"/>
      <c r="U107" s="481"/>
      <c r="AA107" s="1559"/>
      <c r="AB107" s="1559"/>
      <c r="AC107" s="1559"/>
      <c r="AD107" s="1559"/>
      <c r="AE107" s="1559"/>
      <c r="AF107" s="1087">
        <v>0</v>
      </c>
    </row>
    <row r="108" spans="1:32" s="1293" customFormat="1" ht="18.75" customHeight="1">
      <c r="A108" s="2982"/>
      <c r="C108" s="1563"/>
      <c r="D108" s="1565"/>
      <c r="E108" s="483" t="str">
        <f>FHD_NUM_P_68</f>
        <v>10.2</v>
      </c>
      <c r="F108" s="1451" t="str">
        <f>FHD_P_68</f>
        <v>Расчётным путём</v>
      </c>
      <c r="G108" s="1802" t="s">
        <v>629</v>
      </c>
      <c r="H108" s="514"/>
      <c r="I108" s="514"/>
      <c r="J108" s="227" t="str">
        <f>FHD_NOTE_P_68</f>
        <v/>
      </c>
      <c r="K108" s="480"/>
      <c r="L108" s="1563"/>
      <c r="M108" s="1563"/>
      <c r="R108" s="1563"/>
      <c r="U108" s="481"/>
      <c r="AA108" s="1559"/>
      <c r="AB108" s="1559"/>
      <c r="AC108" s="1559"/>
      <c r="AD108" s="1559"/>
      <c r="AE108" s="1559"/>
      <c r="AF108" s="1087">
        <v>0</v>
      </c>
    </row>
    <row r="109" spans="1:32" s="1293" customFormat="1" ht="18.75" customHeight="1">
      <c r="A109" s="2982"/>
      <c r="C109" s="1563"/>
      <c r="D109" s="1565"/>
      <c r="E109" s="483" t="str">
        <f>FHD_NUM_P_69</f>
        <v>10.3</v>
      </c>
      <c r="F109" s="1451" t="str">
        <f>FHD_P_69</f>
        <v>По нормативам потребления коммунальных услуг и нормативам потребления коммунальных ресурсов</v>
      </c>
      <c r="G109" s="1802" t="s">
        <v>629</v>
      </c>
      <c r="H109" s="514"/>
      <c r="I109" s="514"/>
      <c r="J109" s="227" t="str">
        <f>FHD_NOTE_P_69</f>
        <v/>
      </c>
      <c r="K109" s="480"/>
      <c r="L109" s="1563"/>
      <c r="M109" s="1563"/>
      <c r="R109" s="1563"/>
      <c r="U109" s="481"/>
      <c r="AA109" s="1559"/>
      <c r="AB109" s="1559"/>
      <c r="AC109" s="1559"/>
      <c r="AD109" s="1559"/>
      <c r="AE109" s="1559"/>
      <c r="AF109" s="1087">
        <v>0</v>
      </c>
    </row>
    <row r="110" spans="1:32" s="1293" customFormat="1" ht="22.5" customHeight="1">
      <c r="A110" s="2982"/>
      <c r="C110" s="1563"/>
      <c r="D110" s="1565"/>
      <c r="E110" s="483" t="str">
        <f>FHD_NUM_P_70</f>
        <v>11</v>
      </c>
      <c r="F110" s="1805" t="str">
        <f>FHD_P_70</f>
        <v>Нормативы технологических потерь при передаче тепловой энергии, теплоносителя по тепловым сетям, утвержденные уполномоченным органом</v>
      </c>
      <c r="G110" s="1802" t="s">
        <v>635</v>
      </c>
      <c r="H110" s="494"/>
      <c r="I110" s="494"/>
      <c r="J110" s="227" t="str">
        <f>FHD_NOTE_P_70</f>
        <v/>
      </c>
      <c r="K110" s="480"/>
      <c r="L110" s="1563"/>
      <c r="M110" s="1563"/>
      <c r="R110" s="1563"/>
      <c r="U110" s="481"/>
      <c r="AA110" s="1559"/>
      <c r="AB110" s="1559"/>
      <c r="AC110" s="1559"/>
      <c r="AD110" s="1559"/>
      <c r="AE110" s="1559"/>
      <c r="AF110" s="1087">
        <v>0</v>
      </c>
    </row>
    <row r="111" spans="1:32" s="1293" customFormat="1" ht="22.5" customHeight="1">
      <c r="A111" s="2982"/>
      <c r="C111" s="1563"/>
      <c r="D111" s="1565"/>
      <c r="E111" s="483" t="str">
        <f>FHD_NUM_P_71</f>
        <v>12</v>
      </c>
      <c r="F111" s="1805" t="str">
        <f>FHD_P_71</f>
        <v>Фактический объем потерь при передаче тепловой энергии</v>
      </c>
      <c r="G111" s="1802" t="s">
        <v>635</v>
      </c>
      <c r="H111" s="494"/>
      <c r="I111" s="494"/>
      <c r="J111" s="227" t="str">
        <f>FHD_NOTE_P_71</f>
        <v/>
      </c>
      <c r="K111" s="480"/>
      <c r="L111" s="1563"/>
      <c r="M111" s="1563"/>
      <c r="R111" s="1563"/>
      <c r="U111" s="481"/>
      <c r="AA111" s="1559"/>
      <c r="AB111" s="1559"/>
      <c r="AC111" s="1559"/>
      <c r="AD111" s="1559"/>
      <c r="AE111" s="1559"/>
      <c r="AF111" s="1087">
        <v>0</v>
      </c>
    </row>
    <row r="112" spans="1:32" ht="20.25" customHeight="1">
      <c r="D112" s="1565"/>
      <c r="E112" s="483" t="str">
        <f>FHD_NUM_P_72</f>
        <v>13</v>
      </c>
      <c r="F112" s="1805" t="str">
        <f>FHD_P_72</f>
        <v>Среднесписочная численность основного производственного персонала</v>
      </c>
      <c r="G112" s="1801" t="s">
        <v>636</v>
      </c>
      <c r="H112" s="514"/>
      <c r="I112" s="514"/>
      <c r="J112" s="227" t="str">
        <f>FHD_NOTE_P_72</f>
        <v/>
      </c>
      <c r="K112" s="480"/>
      <c r="AF112" s="1558">
        <v>19</v>
      </c>
    </row>
    <row r="113" spans="1:32" ht="18.75" customHeight="1">
      <c r="A113" s="919" t="s">
        <v>637</v>
      </c>
      <c r="D113" s="1565"/>
      <c r="E113" s="483" t="str">
        <f>FHD_NUM_P_73</f>
        <v>14</v>
      </c>
      <c r="F113" s="1805" t="str">
        <f>FHD_P_73</f>
        <v>Среднесписочная численность административно-управленческого персонала</v>
      </c>
      <c r="G113" s="900" t="s">
        <v>636</v>
      </c>
      <c r="H113" s="898"/>
      <c r="I113" s="898"/>
      <c r="J113" s="227" t="str">
        <f>FHD_NOTE_P_73</f>
        <v/>
      </c>
      <c r="K113" s="480"/>
      <c r="AF113" s="1558">
        <v>0</v>
      </c>
    </row>
    <row r="114" spans="1:32" ht="33.75" hidden="1" customHeight="1">
      <c r="A114" s="919" t="s">
        <v>638</v>
      </c>
      <c r="D114" s="1565"/>
      <c r="E114" s="483" t="str">
        <f>FHD_NUM_P_74</f>
        <v/>
      </c>
      <c r="F114" s="1805" t="str">
        <f>FHD_P_74</f>
        <v/>
      </c>
      <c r="G114" s="1801" t="s">
        <v>639</v>
      </c>
      <c r="H114" s="514"/>
      <c r="I114" s="514"/>
      <c r="J114" s="227" t="str">
        <f>FHD_NOTE_P_74</f>
        <v/>
      </c>
      <c r="K114" s="480"/>
      <c r="AF114" s="1558">
        <v>0</v>
      </c>
    </row>
    <row r="115" spans="1:32" s="1562" customFormat="1" ht="18.75" hidden="1" customHeight="1">
      <c r="A115" s="2982" t="s">
        <v>640</v>
      </c>
      <c r="B115" s="840"/>
      <c r="C115" s="672"/>
      <c r="D115" s="670"/>
      <c r="E115" s="483" t="str">
        <f>FHD_NUM_P_75</f>
        <v/>
      </c>
      <c r="F115" s="1805" t="str">
        <f>FHD_P_75</f>
        <v/>
      </c>
      <c r="G115" s="1801" t="s">
        <v>604</v>
      </c>
      <c r="H115" s="494"/>
      <c r="I115" s="494"/>
      <c r="J115" s="227" t="str">
        <f>FHD_NOTE_P_75</f>
        <v/>
      </c>
      <c r="K115" s="671"/>
      <c r="L115" s="672"/>
      <c r="M115" s="672"/>
      <c r="N115" s="840"/>
      <c r="O115" s="840"/>
      <c r="P115" s="840"/>
      <c r="Q115" s="840"/>
      <c r="R115" s="672"/>
      <c r="S115" s="840"/>
      <c r="T115" s="840"/>
      <c r="U115" s="673"/>
      <c r="V115" s="840"/>
      <c r="W115" s="840"/>
      <c r="X115" s="840"/>
      <c r="Y115" s="840"/>
      <c r="Z115" s="840"/>
      <c r="AA115" s="674"/>
      <c r="AB115" s="674"/>
      <c r="AC115" s="674"/>
      <c r="AD115" s="674"/>
      <c r="AE115" s="674"/>
      <c r="AF115" s="676">
        <v>0</v>
      </c>
    </row>
    <row r="116" spans="1:32" s="1562" customFormat="1" ht="18.75" hidden="1" customHeight="1">
      <c r="A116" s="2982"/>
      <c r="B116" s="840"/>
      <c r="C116" s="672"/>
      <c r="D116" s="670"/>
      <c r="E116" s="483" t="str">
        <f>FHD_NUM_P_76</f>
        <v/>
      </c>
      <c r="F116" s="1805" t="str">
        <f>FHD_P_76</f>
        <v/>
      </c>
      <c r="G116" s="1801" t="s">
        <v>604</v>
      </c>
      <c r="H116" s="494"/>
      <c r="I116" s="494"/>
      <c r="J116" s="227" t="str">
        <f>FHD_NOTE_P_76</f>
        <v/>
      </c>
      <c r="K116" s="671"/>
      <c r="L116" s="672"/>
      <c r="M116" s="672"/>
      <c r="N116" s="840"/>
      <c r="O116" s="840"/>
      <c r="P116" s="840"/>
      <c r="Q116" s="840"/>
      <c r="R116" s="672"/>
      <c r="S116" s="840"/>
      <c r="T116" s="840"/>
      <c r="U116" s="673"/>
      <c r="V116" s="840"/>
      <c r="W116" s="840"/>
      <c r="X116" s="840"/>
      <c r="Y116" s="840"/>
      <c r="Z116" s="840"/>
      <c r="AA116" s="674"/>
      <c r="AB116" s="674"/>
      <c r="AC116" s="674"/>
      <c r="AD116" s="674"/>
      <c r="AE116" s="674"/>
      <c r="AF116" s="676">
        <v>0</v>
      </c>
    </row>
    <row r="117" spans="1:32" s="1562" customFormat="1" ht="18.75" hidden="1" customHeight="1">
      <c r="A117" s="2982"/>
      <c r="B117" s="840"/>
      <c r="C117" s="672"/>
      <c r="D117" s="670"/>
      <c r="E117" s="483" t="str">
        <f>FHD_NUM_P_77</f>
        <v/>
      </c>
      <c r="F117" s="1805" t="str">
        <f>FHD_P_77</f>
        <v/>
      </c>
      <c r="G117" s="1801" t="s">
        <v>604</v>
      </c>
      <c r="H117" s="494"/>
      <c r="I117" s="494"/>
      <c r="J117" s="227" t="str">
        <f>FHD_NOTE_P_77</f>
        <v/>
      </c>
      <c r="K117" s="671"/>
      <c r="L117" s="672"/>
      <c r="M117" s="672"/>
      <c r="N117" s="840"/>
      <c r="O117" s="840"/>
      <c r="P117" s="840"/>
      <c r="Q117" s="840"/>
      <c r="R117" s="672"/>
      <c r="S117" s="840"/>
      <c r="T117" s="840"/>
      <c r="U117" s="673"/>
      <c r="V117" s="840"/>
      <c r="W117" s="840"/>
      <c r="X117" s="840"/>
      <c r="Y117" s="840"/>
      <c r="Z117" s="840"/>
      <c r="AA117" s="674"/>
      <c r="AB117" s="674"/>
      <c r="AC117" s="674"/>
      <c r="AD117" s="674"/>
      <c r="AE117" s="674"/>
      <c r="AF117" s="676">
        <v>0</v>
      </c>
    </row>
    <row r="118" spans="1:32" s="1569" customFormat="1" ht="0.75" hidden="1" customHeight="1">
      <c r="A118" s="2982"/>
      <c r="D118" s="485"/>
      <c r="E118" s="943" t="str">
        <f>E117&amp;".0"</f>
        <v>.0</v>
      </c>
      <c r="F118" s="927"/>
      <c r="G118" s="1578"/>
      <c r="H118" s="922"/>
      <c r="I118" s="922"/>
      <c r="J118" s="926"/>
      <c r="AF118" s="1563">
        <v>0</v>
      </c>
    </row>
    <row r="119" spans="1:32" s="1562" customFormat="1" ht="15" hidden="1" customHeight="1">
      <c r="A119" s="2982"/>
      <c r="B119" s="840"/>
      <c r="C119" s="672"/>
      <c r="D119" s="683"/>
      <c r="E119" s="903"/>
      <c r="F119" s="904" t="s">
        <v>641</v>
      </c>
      <c r="G119" s="684"/>
      <c r="H119" s="685"/>
      <c r="I119" s="685"/>
      <c r="J119" s="933" t="s">
        <v>642</v>
      </c>
      <c r="K119" s="671"/>
      <c r="L119" s="672"/>
      <c r="M119" s="672"/>
      <c r="N119" s="840"/>
      <c r="O119" s="840"/>
      <c r="P119" s="840"/>
      <c r="Q119" s="840"/>
      <c r="R119" s="672"/>
      <c r="S119" s="840"/>
      <c r="T119" s="840"/>
      <c r="U119" s="673"/>
      <c r="V119" s="840"/>
      <c r="W119" s="840"/>
      <c r="X119" s="840"/>
      <c r="Y119" s="840"/>
      <c r="Z119" s="840"/>
      <c r="AA119" s="674"/>
      <c r="AB119" s="674"/>
      <c r="AC119" s="674"/>
      <c r="AD119" s="674"/>
      <c r="AE119" s="674"/>
      <c r="AF119" s="676">
        <v>0</v>
      </c>
    </row>
    <row r="120" spans="1:32" ht="22.5" customHeight="1">
      <c r="A120" s="2982" t="s">
        <v>643</v>
      </c>
      <c r="D120" s="1565"/>
      <c r="E120" s="483" t="str">
        <f>FHD_NUM_P_78</f>
        <v>15</v>
      </c>
      <c r="F120" s="1805" t="str">
        <f>FHD_P_78</f>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0" s="1802" t="s">
        <v>606</v>
      </c>
      <c r="H120" s="514"/>
      <c r="I120" s="514"/>
      <c r="J120" s="227" t="str">
        <f>FHD_NOTE_P_78</f>
        <v/>
      </c>
      <c r="K120" s="480"/>
      <c r="AF120" s="1558">
        <v>0</v>
      </c>
    </row>
    <row r="121" spans="1:32" s="1569" customFormat="1" ht="0.75" customHeight="1">
      <c r="A121" s="2982"/>
      <c r="D121" s="485"/>
      <c r="E121" s="943" t="str">
        <f>E120&amp;".0"</f>
        <v>15.0</v>
      </c>
      <c r="F121" s="927"/>
      <c r="G121" s="1578"/>
      <c r="H121" s="922"/>
      <c r="I121" s="922"/>
      <c r="J121" s="926"/>
      <c r="AF121" s="1563">
        <v>0</v>
      </c>
    </row>
    <row r="122" spans="1:32" ht="15" customHeight="1">
      <c r="A122" s="2982"/>
      <c r="D122" s="1560"/>
      <c r="E122" s="507"/>
      <c r="F122" s="1095" t="s">
        <v>632</v>
      </c>
      <c r="G122" s="509"/>
      <c r="H122" s="510"/>
      <c r="I122" s="510"/>
      <c r="J122" s="934" t="s">
        <v>644</v>
      </c>
      <c r="K122" s="480"/>
      <c r="AF122" s="1558">
        <v>0</v>
      </c>
    </row>
    <row r="123" spans="1:32" ht="22.5" customHeight="1">
      <c r="A123" s="2982"/>
      <c r="D123" s="1565"/>
      <c r="E123" s="483" t="str">
        <f>FHD_NUM_P_79</f>
        <v>16</v>
      </c>
      <c r="F123" s="1805" t="str">
        <f>FHD_P_79</f>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G123" s="1803" t="s">
        <v>608</v>
      </c>
      <c r="H123" s="514"/>
      <c r="I123" s="514"/>
      <c r="J123" s="227" t="str">
        <f>FHD_NOTE_P_79</f>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K123" s="480"/>
      <c r="AF123" s="1558">
        <v>0</v>
      </c>
    </row>
    <row r="124" spans="1:32" s="1569" customFormat="1" ht="0.75" customHeight="1">
      <c r="A124" s="2982"/>
      <c r="D124" s="485"/>
      <c r="E124" s="943" t="str">
        <f>E123&amp;".0"</f>
        <v>16.0</v>
      </c>
      <c r="F124" s="928"/>
      <c r="G124" s="1578"/>
      <c r="H124" s="922"/>
      <c r="I124" s="922"/>
      <c r="J124" s="926"/>
      <c r="AF124" s="1563">
        <v>0</v>
      </c>
    </row>
    <row r="125" spans="1:32" ht="15" customHeight="1">
      <c r="A125" s="2982"/>
      <c r="D125" s="1560"/>
      <c r="E125" s="507"/>
      <c r="F125" s="1095" t="s">
        <v>632</v>
      </c>
      <c r="G125" s="509"/>
      <c r="H125" s="510"/>
      <c r="I125" s="510"/>
      <c r="J125" s="934" t="s">
        <v>645</v>
      </c>
      <c r="K125" s="480"/>
      <c r="AF125" s="1558">
        <v>0</v>
      </c>
    </row>
    <row r="126" spans="1:32" ht="22.5" customHeight="1">
      <c r="A126" s="2982"/>
      <c r="D126" s="1565"/>
      <c r="E126" s="483" t="str">
        <f>FHD_NUM_P_80</f>
        <v>17</v>
      </c>
      <c r="F126" s="1805" t="str">
        <f>FHD_P_80</f>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6" s="1803" t="s">
        <v>646</v>
      </c>
      <c r="H126" s="494"/>
      <c r="I126" s="494"/>
      <c r="J126" s="227" t="str">
        <f>FHD_NOTE_P_80</f>
        <v>Регулируемыми организациями указывается информация с по договорам, заключенным в рамках осуществления регулируемой деятельности.</v>
      </c>
      <c r="K126" s="480"/>
      <c r="AF126" s="1558">
        <v>0</v>
      </c>
    </row>
    <row r="127" spans="1:32" ht="18.75" customHeight="1">
      <c r="A127" s="2982"/>
      <c r="D127" s="1565"/>
      <c r="E127" s="483" t="str">
        <f>FHD_NUM_P_81</f>
        <v>18</v>
      </c>
      <c r="F127" s="1805" t="str">
        <f>FHD_P_81</f>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G127" s="1803" t="s">
        <v>647</v>
      </c>
      <c r="H127" s="494"/>
      <c r="I127" s="494"/>
      <c r="J127" s="227" t="str">
        <f>FHD_NOTE_P_81</f>
        <v>Регулируемыми организациями указывается информация с по договорам, заключенным в рамках осуществления регулируемой деятельности.</v>
      </c>
      <c r="K127" s="480"/>
      <c r="AF127" s="1558">
        <v>0</v>
      </c>
    </row>
    <row r="128" spans="1:32" ht="18.75" customHeight="1">
      <c r="A128" s="2982"/>
      <c r="C128" s="1563" t="s">
        <v>634</v>
      </c>
      <c r="D128" s="1565"/>
      <c r="E128" s="483" t="str">
        <f>FHD_NUM_P_82</f>
        <v>19</v>
      </c>
      <c r="F128" s="1805" t="str">
        <f>FHD_P_82</f>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G128" s="1803" t="s">
        <v>351</v>
      </c>
      <c r="H128" s="338"/>
      <c r="I128" s="338"/>
      <c r="J128" s="227" t="str">
        <f>FHD_NOTE_P_82</f>
        <v>Указывается ссылка на документ, предварительно загруженный в хранилище файлов ФГИС ЕИАС.</v>
      </c>
      <c r="K128" s="480"/>
      <c r="AF128" s="1558">
        <v>0</v>
      </c>
    </row>
    <row r="129" spans="1:32" ht="18.75" customHeight="1">
      <c r="A129" s="2982"/>
      <c r="C129" s="1563" t="s">
        <v>634</v>
      </c>
      <c r="D129" s="1565"/>
      <c r="E129" s="483" t="str">
        <f>FHD_NUM_P_83</f>
        <v>19.1</v>
      </c>
      <c r="F129" s="1451" t="str">
        <f>FHD_P_83</f>
        <v>Информация о показателях физического износа объектов теплоснабжения</v>
      </c>
      <c r="G129" s="1803" t="s">
        <v>351</v>
      </c>
      <c r="H129" s="338"/>
      <c r="I129" s="338"/>
      <c r="J129" s="227" t="str">
        <f>FHD_NOTE_P_83</f>
        <v>Указывается ссылка на документ, предварительно загруженный в хранилище файлов ФГИС ЕИАС.</v>
      </c>
      <c r="K129" s="480"/>
      <c r="AF129" s="1558">
        <v>0</v>
      </c>
    </row>
    <row r="130" spans="1:32" ht="18.75" customHeight="1">
      <c r="A130" s="2982"/>
      <c r="C130" s="1563" t="s">
        <v>634</v>
      </c>
      <c r="D130" s="1565"/>
      <c r="E130" s="483" t="str">
        <f>FHD_NUM_P_84</f>
        <v>19.2</v>
      </c>
      <c r="F130" s="1451" t="str">
        <f>FHD_P_84</f>
        <v>Информация о показателях энергетической эффективности объектов теплоснабжения</v>
      </c>
      <c r="G130" s="1803" t="s">
        <v>351</v>
      </c>
      <c r="H130" s="338"/>
      <c r="I130" s="338"/>
      <c r="J130" s="227" t="str">
        <f>FHD_NOTE_P_84</f>
        <v>Указывается ссылка на документ, предварительно загруженный в хранилище файлов ФГИС ЕИАС.</v>
      </c>
      <c r="K130" s="480"/>
      <c r="AF130" s="1558">
        <v>0</v>
      </c>
    </row>
    <row r="131" spans="1:32" ht="11.25" customHeight="1">
      <c r="D131" s="1565"/>
      <c r="AF131" s="1558">
        <v>11</v>
      </c>
    </row>
    <row r="132" spans="1:32" ht="13.5" customHeight="1">
      <c r="D132" s="1565"/>
      <c r="E132" s="274"/>
      <c r="F132" s="306"/>
      <c r="G132" s="306"/>
      <c r="H132" s="306"/>
      <c r="I132" s="1574"/>
      <c r="J132" s="518"/>
      <c r="AF132" s="1558">
        <v>13</v>
      </c>
    </row>
    <row r="133" spans="1:32" s="1568" customFormat="1" ht="11.25" customHeight="1">
      <c r="A133" s="917"/>
      <c r="B133" s="1563"/>
      <c r="C133" s="1563"/>
      <c r="D133" s="288"/>
      <c r="F133" s="1567"/>
      <c r="G133" s="1558"/>
      <c r="H133" s="1558"/>
      <c r="I133" s="155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2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2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25" customHeight="1">
      <c r="A136" s="917"/>
      <c r="B136" s="1563"/>
      <c r="C136" s="1563"/>
      <c r="D136" s="288"/>
      <c r="H136" s="503" t="str">
        <f>IF(H30-H31&lt;&gt;H72,"WARNING","")</f>
        <v/>
      </c>
      <c r="I136" s="503" t="str">
        <f>IF(I30-I31&lt;&gt;I72,"WARNING","")</f>
        <v/>
      </c>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2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2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2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2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2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2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2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2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2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2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2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2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2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2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2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2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2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2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2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2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2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2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2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2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2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2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2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2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2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2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2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2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2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2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2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2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2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2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2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2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2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2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2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2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2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2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2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2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2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2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2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2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2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2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2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2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2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2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2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2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2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2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2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2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2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2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s="1568" customFormat="1" ht="11.25" customHeight="1">
      <c r="A203" s="917"/>
      <c r="B203" s="1563"/>
      <c r="C203" s="1563"/>
      <c r="D203" s="288"/>
      <c r="K203" s="1087"/>
      <c r="L203" s="1563"/>
      <c r="M203" s="1563"/>
      <c r="N203" s="1087"/>
      <c r="O203" s="1087"/>
      <c r="P203" s="1087"/>
      <c r="Q203" s="1087"/>
      <c r="R203" s="1563"/>
      <c r="S203" s="1087"/>
      <c r="T203" s="1087"/>
      <c r="U203" s="481"/>
      <c r="V203" s="1087"/>
      <c r="W203" s="1087"/>
      <c r="X203" s="1087"/>
      <c r="Y203" s="1087"/>
      <c r="Z203" s="1087"/>
      <c r="AA203" s="1559"/>
      <c r="AB203" s="503"/>
      <c r="AC203" s="503"/>
      <c r="AD203" s="503"/>
      <c r="AE203" s="503"/>
      <c r="AF203" s="1568">
        <v>11</v>
      </c>
    </row>
    <row r="204" spans="1:32" s="1568" customFormat="1" ht="11.25" customHeight="1">
      <c r="A204" s="917"/>
      <c r="B204" s="1563"/>
      <c r="C204" s="1563"/>
      <c r="D204" s="288"/>
      <c r="K204" s="1087"/>
      <c r="L204" s="1563"/>
      <c r="M204" s="1563"/>
      <c r="N204" s="1087"/>
      <c r="O204" s="1087"/>
      <c r="P204" s="1087"/>
      <c r="Q204" s="1087"/>
      <c r="R204" s="1563"/>
      <c r="S204" s="1087"/>
      <c r="T204" s="1087"/>
      <c r="U204" s="481"/>
      <c r="V204" s="1087"/>
      <c r="W204" s="1087"/>
      <c r="X204" s="1087"/>
      <c r="Y204" s="1087"/>
      <c r="Z204" s="1087"/>
      <c r="AA204" s="1559"/>
      <c r="AB204" s="503"/>
      <c r="AC204" s="503"/>
      <c r="AD204" s="503"/>
      <c r="AE204" s="503"/>
      <c r="AF204" s="1568">
        <v>11</v>
      </c>
    </row>
    <row r="205" spans="1:32" s="1568" customFormat="1" ht="11.25" customHeight="1">
      <c r="A205" s="917"/>
      <c r="B205" s="1563"/>
      <c r="C205" s="1563"/>
      <c r="D205" s="288"/>
      <c r="K205" s="1087"/>
      <c r="L205" s="1563"/>
      <c r="M205" s="1563"/>
      <c r="N205" s="1087"/>
      <c r="O205" s="1087"/>
      <c r="P205" s="1087"/>
      <c r="Q205" s="1087"/>
      <c r="R205" s="1563"/>
      <c r="S205" s="1087"/>
      <c r="T205" s="1087"/>
      <c r="U205" s="481"/>
      <c r="V205" s="1087"/>
      <c r="W205" s="1087"/>
      <c r="X205" s="1087"/>
      <c r="Y205" s="1087"/>
      <c r="Z205" s="1087"/>
      <c r="AA205" s="1559"/>
      <c r="AB205" s="503"/>
      <c r="AC205" s="503"/>
      <c r="AD205" s="503"/>
      <c r="AE205" s="503"/>
      <c r="AF205" s="1568">
        <v>11</v>
      </c>
    </row>
    <row r="206" spans="1:32" s="1568" customFormat="1" ht="11.25" customHeight="1">
      <c r="A206" s="917"/>
      <c r="B206" s="1563"/>
      <c r="C206" s="1563"/>
      <c r="D206" s="288"/>
      <c r="K206" s="1087"/>
      <c r="L206" s="1563"/>
      <c r="M206" s="1563"/>
      <c r="N206" s="1087"/>
      <c r="O206" s="1087"/>
      <c r="P206" s="1087"/>
      <c r="Q206" s="1087"/>
      <c r="R206" s="1563"/>
      <c r="S206" s="1087"/>
      <c r="T206" s="1087"/>
      <c r="U206" s="481"/>
      <c r="V206" s="1087"/>
      <c r="W206" s="1087"/>
      <c r="X206" s="1087"/>
      <c r="Y206" s="1087"/>
      <c r="Z206" s="1087"/>
      <c r="AA206" s="1559"/>
      <c r="AB206" s="503"/>
      <c r="AC206" s="503"/>
      <c r="AD206" s="503"/>
      <c r="AE206" s="503"/>
      <c r="AF206" s="1568">
        <v>11</v>
      </c>
    </row>
    <row r="207" spans="1:32" s="1568" customFormat="1" ht="11.25" customHeight="1">
      <c r="A207" s="917"/>
      <c r="B207" s="1563"/>
      <c r="C207" s="1563"/>
      <c r="D207" s="288"/>
      <c r="K207" s="1087"/>
      <c r="L207" s="1563"/>
      <c r="M207" s="1563"/>
      <c r="N207" s="1087"/>
      <c r="O207" s="1087"/>
      <c r="P207" s="1087"/>
      <c r="Q207" s="1087"/>
      <c r="R207" s="1563"/>
      <c r="S207" s="1087"/>
      <c r="T207" s="1087"/>
      <c r="U207" s="481"/>
      <c r="V207" s="1087"/>
      <c r="W207" s="1087"/>
      <c r="X207" s="1087"/>
      <c r="Y207" s="1087"/>
      <c r="Z207" s="1087"/>
      <c r="AA207" s="1559"/>
      <c r="AB207" s="503"/>
      <c r="AC207" s="503"/>
      <c r="AD207" s="503"/>
      <c r="AE207" s="503"/>
      <c r="AF207" s="1568">
        <v>11</v>
      </c>
    </row>
    <row r="208" spans="1:32" s="1568" customFormat="1" ht="11.25" customHeight="1">
      <c r="A208" s="917"/>
      <c r="B208" s="1563"/>
      <c r="C208" s="1563"/>
      <c r="D208" s="288"/>
      <c r="K208" s="1087"/>
      <c r="L208" s="1563"/>
      <c r="M208" s="1563"/>
      <c r="N208" s="1087"/>
      <c r="O208" s="1087"/>
      <c r="P208" s="1087"/>
      <c r="Q208" s="1087"/>
      <c r="R208" s="1563"/>
      <c r="S208" s="1087"/>
      <c r="T208" s="1087"/>
      <c r="U208" s="481"/>
      <c r="V208" s="1087"/>
      <c r="W208" s="1087"/>
      <c r="X208" s="1087"/>
      <c r="Y208" s="1087"/>
      <c r="Z208" s="1087"/>
      <c r="AA208" s="1559"/>
      <c r="AB208" s="503"/>
      <c r="AC208" s="503"/>
      <c r="AD208" s="503"/>
      <c r="AE208" s="503"/>
      <c r="AF208" s="1568">
        <v>11</v>
      </c>
    </row>
    <row r="209" spans="1:32" s="1568" customFormat="1" ht="11.25" customHeight="1">
      <c r="A209" s="917"/>
      <c r="B209" s="1563"/>
      <c r="C209" s="1563"/>
      <c r="D209" s="288"/>
      <c r="K209" s="1087"/>
      <c r="L209" s="1563"/>
      <c r="M209" s="1563"/>
      <c r="N209" s="1087"/>
      <c r="O209" s="1087"/>
      <c r="P209" s="1087"/>
      <c r="Q209" s="1087"/>
      <c r="R209" s="1563"/>
      <c r="S209" s="1087"/>
      <c r="T209" s="1087"/>
      <c r="U209" s="481"/>
      <c r="V209" s="1087"/>
      <c r="W209" s="1087"/>
      <c r="X209" s="1087"/>
      <c r="Y209" s="1087"/>
      <c r="Z209" s="1087"/>
      <c r="AA209" s="1559"/>
      <c r="AB209" s="503"/>
      <c r="AC209" s="503"/>
      <c r="AD209" s="503"/>
      <c r="AE209" s="503"/>
      <c r="AF209" s="1568">
        <v>11</v>
      </c>
    </row>
    <row r="210" spans="1:32" s="1568" customFormat="1" ht="11.25" customHeight="1">
      <c r="A210" s="917"/>
      <c r="B210" s="1563"/>
      <c r="C210" s="1563"/>
      <c r="D210" s="288"/>
      <c r="K210" s="1087"/>
      <c r="L210" s="1563"/>
      <c r="M210" s="1563"/>
      <c r="N210" s="1087"/>
      <c r="O210" s="1087"/>
      <c r="P210" s="1087"/>
      <c r="Q210" s="1087"/>
      <c r="R210" s="1563"/>
      <c r="S210" s="1087"/>
      <c r="T210" s="1087"/>
      <c r="U210" s="481"/>
      <c r="V210" s="1087"/>
      <c r="W210" s="1087"/>
      <c r="X210" s="1087"/>
      <c r="Y210" s="1087"/>
      <c r="Z210" s="1087"/>
      <c r="AA210" s="1559"/>
      <c r="AB210" s="503"/>
      <c r="AC210" s="503"/>
      <c r="AD210" s="503"/>
      <c r="AE210" s="503"/>
      <c r="AF210" s="1568">
        <v>11</v>
      </c>
    </row>
    <row r="211" spans="1:32" s="1568" customFormat="1" ht="11.25" customHeight="1">
      <c r="A211" s="917"/>
      <c r="B211" s="1563"/>
      <c r="C211" s="1563"/>
      <c r="D211" s="288"/>
      <c r="K211" s="1087"/>
      <c r="L211" s="1563"/>
      <c r="M211" s="1563"/>
      <c r="N211" s="1087"/>
      <c r="O211" s="1087"/>
      <c r="P211" s="1087"/>
      <c r="Q211" s="1087"/>
      <c r="R211" s="1563"/>
      <c r="S211" s="1087"/>
      <c r="T211" s="1087"/>
      <c r="U211" s="481"/>
      <c r="V211" s="1087"/>
      <c r="W211" s="1087"/>
      <c r="X211" s="1087"/>
      <c r="Y211" s="1087"/>
      <c r="Z211" s="1087"/>
      <c r="AA211" s="1559"/>
      <c r="AB211" s="503"/>
      <c r="AC211" s="503"/>
      <c r="AD211" s="503"/>
      <c r="AE211" s="503"/>
      <c r="AF211" s="1568">
        <v>11</v>
      </c>
    </row>
    <row r="212" spans="1:32" s="1568" customFormat="1" ht="11.25" customHeight="1">
      <c r="A212" s="917"/>
      <c r="B212" s="1563"/>
      <c r="C212" s="1563"/>
      <c r="D212" s="288"/>
      <c r="K212" s="1087"/>
      <c r="L212" s="1563"/>
      <c r="M212" s="1563"/>
      <c r="N212" s="1087"/>
      <c r="O212" s="1087"/>
      <c r="P212" s="1087"/>
      <c r="Q212" s="1087"/>
      <c r="R212" s="1563"/>
      <c r="S212" s="1087"/>
      <c r="T212" s="1087"/>
      <c r="U212" s="481"/>
      <c r="V212" s="1087"/>
      <c r="W212" s="1087"/>
      <c r="X212" s="1087"/>
      <c r="Y212" s="1087"/>
      <c r="Z212" s="1087"/>
      <c r="AA212" s="1559"/>
      <c r="AB212" s="503"/>
      <c r="AC212" s="503"/>
      <c r="AD212" s="503"/>
      <c r="AE212" s="503"/>
      <c r="AF212" s="1568">
        <v>11</v>
      </c>
    </row>
    <row r="213" spans="1:32" s="1568" customFormat="1" ht="11.25" customHeight="1">
      <c r="A213" s="917"/>
      <c r="B213" s="1563"/>
      <c r="C213" s="1563"/>
      <c r="D213" s="288"/>
      <c r="K213" s="1087"/>
      <c r="L213" s="1563"/>
      <c r="M213" s="1563"/>
      <c r="N213" s="1087"/>
      <c r="O213" s="1087"/>
      <c r="P213" s="1087"/>
      <c r="Q213" s="1087"/>
      <c r="R213" s="1563"/>
      <c r="S213" s="1087"/>
      <c r="T213" s="1087"/>
      <c r="U213" s="481"/>
      <c r="V213" s="1087"/>
      <c r="W213" s="1087"/>
      <c r="X213" s="1087"/>
      <c r="Y213" s="1087"/>
      <c r="Z213" s="1087"/>
      <c r="AA213" s="1559"/>
      <c r="AB213" s="503"/>
      <c r="AC213" s="503"/>
      <c r="AD213" s="503"/>
      <c r="AE213" s="503"/>
      <c r="AF213" s="1568">
        <v>11</v>
      </c>
    </row>
    <row r="214" spans="1:32" s="1568" customFormat="1" ht="11.25" customHeight="1">
      <c r="A214" s="917"/>
      <c r="B214" s="1563"/>
      <c r="C214" s="1563"/>
      <c r="D214" s="288"/>
      <c r="K214" s="1087"/>
      <c r="L214" s="1563"/>
      <c r="M214" s="1563"/>
      <c r="N214" s="1087"/>
      <c r="O214" s="1087"/>
      <c r="P214" s="1087"/>
      <c r="Q214" s="1087"/>
      <c r="R214" s="1563"/>
      <c r="S214" s="1087"/>
      <c r="T214" s="1087"/>
      <c r="U214" s="481"/>
      <c r="V214" s="1087"/>
      <c r="W214" s="1087"/>
      <c r="X214" s="1087"/>
      <c r="Y214" s="1087"/>
      <c r="Z214" s="1087"/>
      <c r="AA214" s="1559"/>
      <c r="AB214" s="503"/>
      <c r="AC214" s="503"/>
      <c r="AD214" s="503"/>
      <c r="AE214" s="503"/>
      <c r="AF214" s="1568">
        <v>11</v>
      </c>
    </row>
    <row r="215" spans="1:32" s="1568" customFormat="1" ht="11.25" customHeight="1">
      <c r="A215" s="917"/>
      <c r="B215" s="1563"/>
      <c r="C215" s="1563"/>
      <c r="D215" s="288"/>
      <c r="K215" s="1087"/>
      <c r="L215" s="1563"/>
      <c r="M215" s="1563"/>
      <c r="N215" s="1087"/>
      <c r="O215" s="1087"/>
      <c r="P215" s="1087"/>
      <c r="Q215" s="1087"/>
      <c r="R215" s="1563"/>
      <c r="S215" s="1087"/>
      <c r="T215" s="1087"/>
      <c r="U215" s="481"/>
      <c r="V215" s="1087"/>
      <c r="W215" s="1087"/>
      <c r="X215" s="1087"/>
      <c r="Y215" s="1087"/>
      <c r="Z215" s="1087"/>
      <c r="AA215" s="1559"/>
      <c r="AB215" s="503"/>
      <c r="AC215" s="503"/>
      <c r="AD215" s="503"/>
      <c r="AE215" s="503"/>
      <c r="AF215" s="1568">
        <v>11</v>
      </c>
    </row>
    <row r="216" spans="1:32" s="1568" customFormat="1" ht="11.25" customHeight="1">
      <c r="A216" s="917"/>
      <c r="B216" s="1563"/>
      <c r="C216" s="1563"/>
      <c r="D216" s="288"/>
      <c r="K216" s="1087"/>
      <c r="L216" s="1563"/>
      <c r="M216" s="1563"/>
      <c r="N216" s="1087"/>
      <c r="O216" s="1087"/>
      <c r="P216" s="1087"/>
      <c r="Q216" s="1087"/>
      <c r="R216" s="1563"/>
      <c r="S216" s="1087"/>
      <c r="T216" s="1087"/>
      <c r="U216" s="481"/>
      <c r="V216" s="1087"/>
      <c r="W216" s="1087"/>
      <c r="X216" s="1087"/>
      <c r="Y216" s="1087"/>
      <c r="Z216" s="1087"/>
      <c r="AA216" s="1559"/>
      <c r="AB216" s="503"/>
      <c r="AC216" s="503"/>
      <c r="AD216" s="503"/>
      <c r="AE216" s="503"/>
      <c r="AF216" s="1568">
        <v>11</v>
      </c>
    </row>
    <row r="217" spans="1:32" s="1568" customFormat="1" ht="11.25" customHeight="1">
      <c r="A217" s="917"/>
      <c r="B217" s="1563"/>
      <c r="C217" s="1563"/>
      <c r="D217" s="288"/>
      <c r="K217" s="1087"/>
      <c r="L217" s="1563"/>
      <c r="M217" s="1563"/>
      <c r="N217" s="1087"/>
      <c r="O217" s="1087"/>
      <c r="P217" s="1087"/>
      <c r="Q217" s="1087"/>
      <c r="R217" s="1563"/>
      <c r="S217" s="1087"/>
      <c r="T217" s="1087"/>
      <c r="U217" s="481"/>
      <c r="V217" s="1087"/>
      <c r="W217" s="1087"/>
      <c r="X217" s="1087"/>
      <c r="Y217" s="1087"/>
      <c r="Z217" s="1087"/>
      <c r="AA217" s="1559"/>
      <c r="AB217" s="503"/>
      <c r="AC217" s="503"/>
      <c r="AD217" s="503"/>
      <c r="AE217" s="503"/>
      <c r="AF217" s="1568">
        <v>11</v>
      </c>
    </row>
    <row r="218" spans="1:32" s="1568" customFormat="1" ht="11.25" customHeight="1">
      <c r="A218" s="917"/>
      <c r="B218" s="1563"/>
      <c r="C218" s="1563"/>
      <c r="D218" s="288"/>
      <c r="K218" s="1087"/>
      <c r="L218" s="1563"/>
      <c r="M218" s="1563"/>
      <c r="N218" s="1087"/>
      <c r="O218" s="1087"/>
      <c r="P218" s="1087"/>
      <c r="Q218" s="1087"/>
      <c r="R218" s="1563"/>
      <c r="S218" s="1087"/>
      <c r="T218" s="1087"/>
      <c r="U218" s="481"/>
      <c r="V218" s="1087"/>
      <c r="W218" s="1087"/>
      <c r="X218" s="1087"/>
      <c r="Y218" s="1087"/>
      <c r="Z218" s="1087"/>
      <c r="AA218" s="1559"/>
      <c r="AB218" s="503"/>
      <c r="AC218" s="503"/>
      <c r="AD218" s="503"/>
      <c r="AE218" s="503"/>
      <c r="AF218" s="1568">
        <v>11</v>
      </c>
    </row>
    <row r="219" spans="1:32" s="1568" customFormat="1" ht="11.25" customHeight="1">
      <c r="A219" s="917"/>
      <c r="B219" s="1563"/>
      <c r="C219" s="1563"/>
      <c r="D219" s="288"/>
      <c r="K219" s="1087"/>
      <c r="L219" s="1563"/>
      <c r="M219" s="1563"/>
      <c r="N219" s="1087"/>
      <c r="O219" s="1087"/>
      <c r="P219" s="1087"/>
      <c r="Q219" s="1087"/>
      <c r="R219" s="1563"/>
      <c r="S219" s="1087"/>
      <c r="T219" s="1087"/>
      <c r="U219" s="481"/>
      <c r="V219" s="1087"/>
      <c r="W219" s="1087"/>
      <c r="X219" s="1087"/>
      <c r="Y219" s="1087"/>
      <c r="Z219" s="1087"/>
      <c r="AA219" s="1559"/>
      <c r="AB219" s="503"/>
      <c r="AC219" s="503"/>
      <c r="AD219" s="503"/>
      <c r="AE219" s="503"/>
      <c r="AF219" s="1568">
        <v>11</v>
      </c>
    </row>
    <row r="220" spans="1:32" s="1568" customFormat="1" ht="11.25" customHeight="1">
      <c r="A220" s="917"/>
      <c r="B220" s="1563"/>
      <c r="C220" s="1563"/>
      <c r="D220" s="288"/>
      <c r="K220" s="1087"/>
      <c r="L220" s="1563"/>
      <c r="M220" s="1563"/>
      <c r="N220" s="1087"/>
      <c r="O220" s="1087"/>
      <c r="P220" s="1087"/>
      <c r="Q220" s="1087"/>
      <c r="R220" s="1563"/>
      <c r="S220" s="1087"/>
      <c r="T220" s="1087"/>
      <c r="U220" s="481"/>
      <c r="V220" s="1087"/>
      <c r="W220" s="1087"/>
      <c r="X220" s="1087"/>
      <c r="Y220" s="1087"/>
      <c r="Z220" s="1087"/>
      <c r="AA220" s="1559"/>
      <c r="AB220" s="503"/>
      <c r="AC220" s="503"/>
      <c r="AD220" s="503"/>
      <c r="AE220" s="503"/>
      <c r="AF220" s="1568">
        <v>11</v>
      </c>
    </row>
    <row r="221" spans="1:32" s="1568" customFormat="1" ht="11.25" customHeight="1">
      <c r="A221" s="917"/>
      <c r="B221" s="1563"/>
      <c r="C221" s="1563"/>
      <c r="D221" s="288"/>
      <c r="K221" s="1087"/>
      <c r="L221" s="1563"/>
      <c r="M221" s="1563"/>
      <c r="N221" s="1087"/>
      <c r="O221" s="1087"/>
      <c r="P221" s="1087"/>
      <c r="Q221" s="1087"/>
      <c r="R221" s="1563"/>
      <c r="S221" s="1087"/>
      <c r="T221" s="1087"/>
      <c r="U221" s="481"/>
      <c r="V221" s="1087"/>
      <c r="W221" s="1087"/>
      <c r="X221" s="1087"/>
      <c r="Y221" s="1087"/>
      <c r="Z221" s="1087"/>
      <c r="AA221" s="1559"/>
      <c r="AB221" s="503"/>
      <c r="AC221" s="503"/>
      <c r="AD221" s="503"/>
      <c r="AE221" s="503"/>
      <c r="AF221" s="1568">
        <v>11</v>
      </c>
    </row>
    <row r="222" spans="1:32" s="1568" customFormat="1" ht="11.25" customHeight="1">
      <c r="A222" s="917"/>
      <c r="B222" s="1563"/>
      <c r="C222" s="1563"/>
      <c r="D222" s="288"/>
      <c r="K222" s="1087"/>
      <c r="L222" s="1563"/>
      <c r="M222" s="1563"/>
      <c r="N222" s="1087"/>
      <c r="O222" s="1087"/>
      <c r="P222" s="1087"/>
      <c r="Q222" s="1087"/>
      <c r="R222" s="1563"/>
      <c r="S222" s="1087"/>
      <c r="T222" s="1087"/>
      <c r="U222" s="481"/>
      <c r="V222" s="1087"/>
      <c r="W222" s="1087"/>
      <c r="X222" s="1087"/>
      <c r="Y222" s="1087"/>
      <c r="Z222" s="1087"/>
      <c r="AA222" s="1559"/>
      <c r="AB222" s="503"/>
      <c r="AC222" s="503"/>
      <c r="AD222" s="503"/>
      <c r="AE222" s="503"/>
      <c r="AF222" s="1568">
        <v>11</v>
      </c>
    </row>
    <row r="223" spans="1:32" s="1568" customFormat="1" ht="11.25" customHeight="1">
      <c r="A223" s="917"/>
      <c r="B223" s="1563"/>
      <c r="C223" s="1563"/>
      <c r="D223" s="288"/>
      <c r="K223" s="1087"/>
      <c r="L223" s="1563"/>
      <c r="M223" s="1563"/>
      <c r="N223" s="1087"/>
      <c r="O223" s="1087"/>
      <c r="P223" s="1087"/>
      <c r="Q223" s="1087"/>
      <c r="R223" s="1563"/>
      <c r="S223" s="1087"/>
      <c r="T223" s="1087"/>
      <c r="U223" s="481"/>
      <c r="V223" s="1087"/>
      <c r="W223" s="1087"/>
      <c r="X223" s="1087"/>
      <c r="Y223" s="1087"/>
      <c r="Z223" s="1087"/>
      <c r="AA223" s="1559"/>
      <c r="AB223" s="503"/>
      <c r="AC223" s="503"/>
      <c r="AD223" s="503"/>
      <c r="AE223" s="503"/>
      <c r="AF223" s="1568">
        <v>11</v>
      </c>
    </row>
    <row r="224" spans="1:32" s="1568" customFormat="1" ht="11.25" customHeight="1">
      <c r="A224" s="917"/>
      <c r="B224" s="1563"/>
      <c r="C224" s="1563"/>
      <c r="D224" s="288"/>
      <c r="K224" s="1087"/>
      <c r="L224" s="1563"/>
      <c r="M224" s="1563"/>
      <c r="N224" s="1087"/>
      <c r="O224" s="1087"/>
      <c r="P224" s="1087"/>
      <c r="Q224" s="1087"/>
      <c r="R224" s="1563"/>
      <c r="S224" s="1087"/>
      <c r="T224" s="1087"/>
      <c r="U224" s="481"/>
      <c r="V224" s="1087"/>
      <c r="W224" s="1087"/>
      <c r="X224" s="1087"/>
      <c r="Y224" s="1087"/>
      <c r="Z224" s="1087"/>
      <c r="AA224" s="1559"/>
      <c r="AB224" s="503"/>
      <c r="AC224" s="503"/>
      <c r="AD224" s="503"/>
      <c r="AE224" s="503"/>
      <c r="AF224" s="1568">
        <v>11</v>
      </c>
    </row>
    <row r="225" spans="1:32" s="1568" customFormat="1" ht="11.25" customHeight="1">
      <c r="A225" s="917"/>
      <c r="B225" s="1563"/>
      <c r="C225" s="1563"/>
      <c r="D225" s="288"/>
      <c r="K225" s="1087"/>
      <c r="L225" s="1563"/>
      <c r="M225" s="1563"/>
      <c r="N225" s="1087"/>
      <c r="O225" s="1087"/>
      <c r="P225" s="1087"/>
      <c r="Q225" s="1087"/>
      <c r="R225" s="1563"/>
      <c r="S225" s="1087"/>
      <c r="T225" s="1087"/>
      <c r="U225" s="481"/>
      <c r="V225" s="1087"/>
      <c r="W225" s="1087"/>
      <c r="X225" s="1087"/>
      <c r="Y225" s="1087"/>
      <c r="Z225" s="1087"/>
      <c r="AA225" s="1559"/>
      <c r="AB225" s="503"/>
      <c r="AC225" s="503"/>
      <c r="AD225" s="503"/>
      <c r="AE225" s="503"/>
      <c r="AF225" s="1568">
        <v>11</v>
      </c>
    </row>
    <row r="226" spans="1:32" s="1568" customFormat="1" ht="11.25" customHeight="1">
      <c r="A226" s="917"/>
      <c r="B226" s="1563"/>
      <c r="C226" s="1563"/>
      <c r="D226" s="288"/>
      <c r="K226" s="1087"/>
      <c r="L226" s="1563"/>
      <c r="M226" s="1563"/>
      <c r="N226" s="1087"/>
      <c r="O226" s="1087"/>
      <c r="P226" s="1087"/>
      <c r="Q226" s="1087"/>
      <c r="R226" s="1563"/>
      <c r="S226" s="1087"/>
      <c r="T226" s="1087"/>
      <c r="U226" s="481"/>
      <c r="V226" s="1087"/>
      <c r="W226" s="1087"/>
      <c r="X226" s="1087"/>
      <c r="Y226" s="1087"/>
      <c r="Z226" s="1087"/>
      <c r="AA226" s="1559"/>
      <c r="AB226" s="503"/>
      <c r="AC226" s="503"/>
      <c r="AD226" s="503"/>
      <c r="AE226" s="503"/>
      <c r="AF226" s="1568">
        <v>11</v>
      </c>
    </row>
    <row r="227" spans="1:32" s="1568" customFormat="1" ht="11.25" customHeight="1">
      <c r="A227" s="917"/>
      <c r="B227" s="1563"/>
      <c r="C227" s="1563"/>
      <c r="D227" s="288"/>
      <c r="K227" s="1087"/>
      <c r="L227" s="1563"/>
      <c r="M227" s="1563"/>
      <c r="N227" s="1087"/>
      <c r="O227" s="1087"/>
      <c r="P227" s="1087"/>
      <c r="Q227" s="1087"/>
      <c r="R227" s="1563"/>
      <c r="S227" s="1087"/>
      <c r="T227" s="1087"/>
      <c r="U227" s="481"/>
      <c r="V227" s="1087"/>
      <c r="W227" s="1087"/>
      <c r="X227" s="1087"/>
      <c r="Y227" s="1087"/>
      <c r="Z227" s="1087"/>
      <c r="AA227" s="1559"/>
      <c r="AB227" s="503"/>
      <c r="AC227" s="503"/>
      <c r="AD227" s="503"/>
      <c r="AE227" s="503"/>
      <c r="AF227" s="1568">
        <v>11</v>
      </c>
    </row>
    <row r="228" spans="1:32" s="1568" customFormat="1" ht="11.25" customHeight="1">
      <c r="A228" s="917"/>
      <c r="B228" s="1563"/>
      <c r="C228" s="1563"/>
      <c r="D228" s="288"/>
      <c r="K228" s="1087"/>
      <c r="L228" s="1563"/>
      <c r="M228" s="1563"/>
      <c r="N228" s="1087"/>
      <c r="O228" s="1087"/>
      <c r="P228" s="1087"/>
      <c r="Q228" s="1087"/>
      <c r="R228" s="1563"/>
      <c r="S228" s="1087"/>
      <c r="T228" s="1087"/>
      <c r="U228" s="481"/>
      <c r="V228" s="1087"/>
      <c r="W228" s="1087"/>
      <c r="X228" s="1087"/>
      <c r="Y228" s="1087"/>
      <c r="Z228" s="1087"/>
      <c r="AA228" s="1559"/>
      <c r="AB228" s="503"/>
      <c r="AC228" s="503"/>
      <c r="AD228" s="503"/>
      <c r="AE228" s="503"/>
      <c r="AF228" s="1568">
        <v>11</v>
      </c>
    </row>
    <row r="229" spans="1:32" s="1568" customFormat="1" ht="11.25" customHeight="1">
      <c r="A229" s="917"/>
      <c r="B229" s="1563"/>
      <c r="C229" s="1563"/>
      <c r="D229" s="288"/>
      <c r="K229" s="1087"/>
      <c r="L229" s="1563"/>
      <c r="M229" s="1563"/>
      <c r="N229" s="1087"/>
      <c r="O229" s="1087"/>
      <c r="P229" s="1087"/>
      <c r="Q229" s="1087"/>
      <c r="R229" s="1563"/>
      <c r="S229" s="1087"/>
      <c r="T229" s="1087"/>
      <c r="U229" s="481"/>
      <c r="V229" s="1087"/>
      <c r="W229" s="1087"/>
      <c r="X229" s="1087"/>
      <c r="Y229" s="1087"/>
      <c r="Z229" s="1087"/>
      <c r="AA229" s="1559"/>
      <c r="AB229" s="503"/>
      <c r="AC229" s="503"/>
      <c r="AD229" s="503"/>
      <c r="AE229" s="503"/>
      <c r="AF229" s="1568">
        <v>11</v>
      </c>
    </row>
    <row r="230" spans="1:32" s="1568" customFormat="1" ht="11.25" customHeight="1">
      <c r="A230" s="917"/>
      <c r="B230" s="1563"/>
      <c r="C230" s="1563"/>
      <c r="D230" s="288"/>
      <c r="K230" s="1087"/>
      <c r="L230" s="1563"/>
      <c r="M230" s="1563"/>
      <c r="N230" s="1087"/>
      <c r="O230" s="1087"/>
      <c r="P230" s="1087"/>
      <c r="Q230" s="1087"/>
      <c r="R230" s="1563"/>
      <c r="S230" s="1087"/>
      <c r="T230" s="1087"/>
      <c r="U230" s="481"/>
      <c r="V230" s="1087"/>
      <c r="W230" s="1087"/>
      <c r="X230" s="1087"/>
      <c r="Y230" s="1087"/>
      <c r="Z230" s="1087"/>
      <c r="AA230" s="1559"/>
      <c r="AB230" s="503"/>
      <c r="AC230" s="503"/>
      <c r="AD230" s="503"/>
      <c r="AE230" s="503"/>
      <c r="AF230" s="1568">
        <v>11</v>
      </c>
    </row>
    <row r="231" spans="1:32" s="1568" customFormat="1" ht="11.25" customHeight="1">
      <c r="A231" s="917"/>
      <c r="B231" s="1563"/>
      <c r="C231" s="1563"/>
      <c r="D231" s="288"/>
      <c r="K231" s="1087"/>
      <c r="L231" s="1563"/>
      <c r="M231" s="1563"/>
      <c r="N231" s="1087"/>
      <c r="O231" s="1087"/>
      <c r="P231" s="1087"/>
      <c r="Q231" s="1087"/>
      <c r="R231" s="1563"/>
      <c r="S231" s="1087"/>
      <c r="T231" s="1087"/>
      <c r="U231" s="481"/>
      <c r="V231" s="1087"/>
      <c r="W231" s="1087"/>
      <c r="X231" s="1087"/>
      <c r="Y231" s="1087"/>
      <c r="Z231" s="1087"/>
      <c r="AA231" s="1559"/>
      <c r="AB231" s="503"/>
      <c r="AC231" s="503"/>
      <c r="AD231" s="503"/>
      <c r="AE231" s="503"/>
      <c r="AF231" s="1568">
        <v>11</v>
      </c>
    </row>
    <row r="232" spans="1:32" s="1568" customFormat="1" ht="11.25" customHeight="1">
      <c r="A232" s="917"/>
      <c r="B232" s="1563"/>
      <c r="C232" s="1563"/>
      <c r="D232" s="288"/>
      <c r="K232" s="1087"/>
      <c r="L232" s="1563"/>
      <c r="M232" s="1563"/>
      <c r="N232" s="1087"/>
      <c r="O232" s="1087"/>
      <c r="P232" s="1087"/>
      <c r="Q232" s="1087"/>
      <c r="R232" s="1563"/>
      <c r="S232" s="1087"/>
      <c r="T232" s="1087"/>
      <c r="U232" s="481"/>
      <c r="V232" s="1087"/>
      <c r="W232" s="1087"/>
      <c r="X232" s="1087"/>
      <c r="Y232" s="1087"/>
      <c r="Z232" s="1087"/>
      <c r="AA232" s="1559"/>
      <c r="AB232" s="503"/>
      <c r="AC232" s="503"/>
      <c r="AD232" s="503"/>
      <c r="AE232" s="503"/>
      <c r="AF232" s="1568">
        <v>11</v>
      </c>
    </row>
    <row r="233" spans="1:32" s="1568" customFormat="1" ht="11.25" customHeight="1">
      <c r="A233" s="917"/>
      <c r="B233" s="1563"/>
      <c r="C233" s="1563"/>
      <c r="D233" s="288"/>
      <c r="K233" s="1087"/>
      <c r="L233" s="1563"/>
      <c r="M233" s="1563"/>
      <c r="N233" s="1087"/>
      <c r="O233" s="1087"/>
      <c r="P233" s="1087"/>
      <c r="Q233" s="1087"/>
      <c r="R233" s="1563"/>
      <c r="S233" s="1087"/>
      <c r="T233" s="1087"/>
      <c r="U233" s="481"/>
      <c r="V233" s="1087"/>
      <c r="W233" s="1087"/>
      <c r="X233" s="1087"/>
      <c r="Y233" s="1087"/>
      <c r="Z233" s="1087"/>
      <c r="AA233" s="1559"/>
      <c r="AB233" s="503"/>
      <c r="AC233" s="503"/>
      <c r="AD233" s="503"/>
      <c r="AE233" s="503"/>
      <c r="AF233" s="1568">
        <v>11</v>
      </c>
    </row>
    <row r="234" spans="1:32" s="1568" customFormat="1" ht="11.25" customHeight="1">
      <c r="A234" s="917"/>
      <c r="B234" s="1563"/>
      <c r="C234" s="1563"/>
      <c r="D234" s="288"/>
      <c r="K234" s="1087"/>
      <c r="L234" s="1563"/>
      <c r="M234" s="1563"/>
      <c r="N234" s="1087"/>
      <c r="O234" s="1087"/>
      <c r="P234" s="1087"/>
      <c r="Q234" s="1087"/>
      <c r="R234" s="1563"/>
      <c r="S234" s="1087"/>
      <c r="T234" s="1087"/>
      <c r="U234" s="481"/>
      <c r="V234" s="1087"/>
      <c r="W234" s="1087"/>
      <c r="X234" s="1087"/>
      <c r="Y234" s="1087"/>
      <c r="Z234" s="1087"/>
      <c r="AA234" s="1559"/>
      <c r="AB234" s="503"/>
      <c r="AC234" s="503"/>
      <c r="AD234" s="503"/>
      <c r="AE234" s="503"/>
      <c r="AF234" s="1568">
        <v>11</v>
      </c>
    </row>
    <row r="235" spans="1:32" s="1568" customFormat="1" ht="11.25" customHeight="1">
      <c r="A235" s="917"/>
      <c r="B235" s="1563"/>
      <c r="C235" s="1563"/>
      <c r="D235" s="288"/>
      <c r="K235" s="1087"/>
      <c r="L235" s="1563"/>
      <c r="M235" s="1563"/>
      <c r="N235" s="1087"/>
      <c r="O235" s="1087"/>
      <c r="P235" s="1087"/>
      <c r="Q235" s="1087"/>
      <c r="R235" s="1563"/>
      <c r="S235" s="1087"/>
      <c r="T235" s="1087"/>
      <c r="U235" s="481"/>
      <c r="V235" s="1087"/>
      <c r="W235" s="1087"/>
      <c r="X235" s="1087"/>
      <c r="Y235" s="1087"/>
      <c r="Z235" s="1087"/>
      <c r="AA235" s="1559"/>
      <c r="AB235" s="503"/>
      <c r="AC235" s="503"/>
      <c r="AD235" s="503"/>
      <c r="AE235" s="503"/>
      <c r="AF235" s="1568">
        <v>11</v>
      </c>
    </row>
    <row r="236" spans="1:32" s="1568" customFormat="1" ht="11.25" customHeight="1">
      <c r="A236" s="917"/>
      <c r="B236" s="1563"/>
      <c r="C236" s="1563"/>
      <c r="D236" s="288"/>
      <c r="K236" s="1087"/>
      <c r="L236" s="1563"/>
      <c r="M236" s="1563"/>
      <c r="N236" s="1087"/>
      <c r="O236" s="1087"/>
      <c r="P236" s="1087"/>
      <c r="Q236" s="1087"/>
      <c r="R236" s="1563"/>
      <c r="S236" s="1087"/>
      <c r="T236" s="1087"/>
      <c r="U236" s="481"/>
      <c r="V236" s="1087"/>
      <c r="W236" s="1087"/>
      <c r="X236" s="1087"/>
      <c r="Y236" s="1087"/>
      <c r="Z236" s="1087"/>
      <c r="AA236" s="1559"/>
      <c r="AB236" s="503"/>
      <c r="AC236" s="503"/>
      <c r="AD236" s="503"/>
      <c r="AE236" s="503"/>
      <c r="AF236" s="1568">
        <v>11</v>
      </c>
    </row>
    <row r="237" spans="1:32" s="1568" customFormat="1" ht="11.25" customHeight="1">
      <c r="A237" s="917"/>
      <c r="B237" s="1563"/>
      <c r="C237" s="1563"/>
      <c r="D237" s="288"/>
      <c r="K237" s="1087"/>
      <c r="L237" s="1563"/>
      <c r="M237" s="1563"/>
      <c r="N237" s="1087"/>
      <c r="O237" s="1087"/>
      <c r="P237" s="1087"/>
      <c r="Q237" s="1087"/>
      <c r="R237" s="1563"/>
      <c r="S237" s="1087"/>
      <c r="T237" s="1087"/>
      <c r="U237" s="481"/>
      <c r="V237" s="1087"/>
      <c r="W237" s="1087"/>
      <c r="X237" s="1087"/>
      <c r="Y237" s="1087"/>
      <c r="Z237" s="1087"/>
      <c r="AA237" s="1559"/>
      <c r="AB237" s="503"/>
      <c r="AC237" s="503"/>
      <c r="AD237" s="503"/>
      <c r="AE237" s="503"/>
      <c r="AF237" s="1568">
        <v>11</v>
      </c>
    </row>
    <row r="238" spans="1:32" s="1568" customFormat="1" ht="11.25" customHeight="1">
      <c r="A238" s="917"/>
      <c r="B238" s="1563"/>
      <c r="C238" s="1563"/>
      <c r="D238" s="288"/>
      <c r="K238" s="1087"/>
      <c r="L238" s="1563"/>
      <c r="M238" s="1563"/>
      <c r="N238" s="1087"/>
      <c r="O238" s="1087"/>
      <c r="P238" s="1087"/>
      <c r="Q238" s="1087"/>
      <c r="R238" s="1563"/>
      <c r="S238" s="1087"/>
      <c r="T238" s="1087"/>
      <c r="U238" s="481"/>
      <c r="V238" s="1087"/>
      <c r="W238" s="1087"/>
      <c r="X238" s="1087"/>
      <c r="Y238" s="1087"/>
      <c r="Z238" s="1087"/>
      <c r="AA238" s="1559"/>
      <c r="AB238" s="503"/>
      <c r="AC238" s="503"/>
      <c r="AD238" s="503"/>
      <c r="AE238" s="503"/>
      <c r="AF238" s="1568">
        <v>11</v>
      </c>
    </row>
    <row r="239" spans="1:32" s="1568" customFormat="1" ht="11.25" customHeight="1">
      <c r="A239" s="917"/>
      <c r="B239" s="1563"/>
      <c r="C239" s="1563"/>
      <c r="D239" s="288"/>
      <c r="K239" s="1087"/>
      <c r="L239" s="1563"/>
      <c r="M239" s="1563"/>
      <c r="N239" s="1087"/>
      <c r="O239" s="1087"/>
      <c r="P239" s="1087"/>
      <c r="Q239" s="1087"/>
      <c r="R239" s="1563"/>
      <c r="S239" s="1087"/>
      <c r="T239" s="1087"/>
      <c r="U239" s="481"/>
      <c r="V239" s="1087"/>
      <c r="W239" s="1087"/>
      <c r="X239" s="1087"/>
      <c r="Y239" s="1087"/>
      <c r="Z239" s="1087"/>
      <c r="AA239" s="1559"/>
      <c r="AB239" s="503"/>
      <c r="AC239" s="503"/>
      <c r="AD239" s="503"/>
      <c r="AE239" s="503"/>
      <c r="AF239" s="1568">
        <v>11</v>
      </c>
    </row>
    <row r="240" spans="1:32" s="1568" customFormat="1" ht="11.25" customHeight="1">
      <c r="A240" s="917"/>
      <c r="B240" s="1563"/>
      <c r="C240" s="1563"/>
      <c r="D240" s="288"/>
      <c r="K240" s="1087"/>
      <c r="L240" s="1563"/>
      <c r="M240" s="1563"/>
      <c r="N240" s="1087"/>
      <c r="O240" s="1087"/>
      <c r="P240" s="1087"/>
      <c r="Q240" s="1087"/>
      <c r="R240" s="1563"/>
      <c r="S240" s="1087"/>
      <c r="T240" s="1087"/>
      <c r="U240" s="481"/>
      <c r="V240" s="1087"/>
      <c r="W240" s="1087"/>
      <c r="X240" s="1087"/>
      <c r="Y240" s="1087"/>
      <c r="Z240" s="1087"/>
      <c r="AA240" s="1559"/>
      <c r="AB240" s="503"/>
      <c r="AC240" s="503"/>
      <c r="AD240" s="503"/>
      <c r="AE240" s="503"/>
      <c r="AF240" s="1568">
        <v>11</v>
      </c>
    </row>
    <row r="241" spans="1:32" s="1568" customFormat="1" ht="11.25" customHeight="1">
      <c r="A241" s="917"/>
      <c r="B241" s="1563"/>
      <c r="C241" s="1563"/>
      <c r="D241" s="288"/>
      <c r="K241" s="1087"/>
      <c r="L241" s="1563"/>
      <c r="M241" s="1563"/>
      <c r="N241" s="1087"/>
      <c r="O241" s="1087"/>
      <c r="P241" s="1087"/>
      <c r="Q241" s="1087"/>
      <c r="R241" s="1563"/>
      <c r="S241" s="1087"/>
      <c r="T241" s="1087"/>
      <c r="U241" s="481"/>
      <c r="V241" s="1087"/>
      <c r="W241" s="1087"/>
      <c r="X241" s="1087"/>
      <c r="Y241" s="1087"/>
      <c r="Z241" s="1087"/>
      <c r="AA241" s="1559"/>
      <c r="AB241" s="503"/>
      <c r="AC241" s="503"/>
      <c r="AD241" s="503"/>
      <c r="AE241" s="503"/>
      <c r="AF241" s="1568">
        <v>11</v>
      </c>
    </row>
    <row r="242" spans="1:32" s="1568" customFormat="1" ht="11.25" customHeight="1">
      <c r="A242" s="917"/>
      <c r="B242" s="1563"/>
      <c r="C242" s="1563"/>
      <c r="D242" s="288"/>
      <c r="K242" s="1087"/>
      <c r="L242" s="1563"/>
      <c r="M242" s="1563"/>
      <c r="N242" s="1087"/>
      <c r="O242" s="1087"/>
      <c r="P242" s="1087"/>
      <c r="Q242" s="1087"/>
      <c r="R242" s="1563"/>
      <c r="S242" s="1087"/>
      <c r="T242" s="1087"/>
      <c r="U242" s="481"/>
      <c r="V242" s="1087"/>
      <c r="W242" s="1087"/>
      <c r="X242" s="1087"/>
      <c r="Y242" s="1087"/>
      <c r="Z242" s="1087"/>
      <c r="AA242" s="1559"/>
      <c r="AB242" s="503"/>
      <c r="AC242" s="503"/>
      <c r="AD242" s="503"/>
      <c r="AE242" s="503"/>
      <c r="AF242" s="1568">
        <v>11</v>
      </c>
    </row>
    <row r="243" spans="1:32" s="1568" customFormat="1" ht="11.25" customHeight="1">
      <c r="A243" s="917"/>
      <c r="B243" s="1563"/>
      <c r="C243" s="1563"/>
      <c r="D243" s="288"/>
      <c r="K243" s="1087"/>
      <c r="L243" s="1563"/>
      <c r="M243" s="1563"/>
      <c r="N243" s="1087"/>
      <c r="O243" s="1087"/>
      <c r="P243" s="1087"/>
      <c r="Q243" s="1087"/>
      <c r="R243" s="1563"/>
      <c r="S243" s="1087"/>
      <c r="T243" s="1087"/>
      <c r="U243" s="481"/>
      <c r="V243" s="1087"/>
      <c r="W243" s="1087"/>
      <c r="X243" s="1087"/>
      <c r="Y243" s="1087"/>
      <c r="Z243" s="1087"/>
      <c r="AA243" s="1559"/>
      <c r="AB243" s="503"/>
      <c r="AC243" s="503"/>
      <c r="AD243" s="503"/>
      <c r="AE243" s="503"/>
      <c r="AF243" s="1568">
        <v>11</v>
      </c>
    </row>
    <row r="244" spans="1:32" s="1568" customFormat="1" ht="11.25" customHeight="1">
      <c r="A244" s="917"/>
      <c r="B244" s="1563"/>
      <c r="C244" s="1563"/>
      <c r="D244" s="288"/>
      <c r="K244" s="1087"/>
      <c r="L244" s="1563"/>
      <c r="M244" s="1563"/>
      <c r="N244" s="1087"/>
      <c r="O244" s="1087"/>
      <c r="P244" s="1087"/>
      <c r="Q244" s="1087"/>
      <c r="R244" s="1563"/>
      <c r="S244" s="1087"/>
      <c r="T244" s="1087"/>
      <c r="U244" s="481"/>
      <c r="V244" s="1087"/>
      <c r="W244" s="1087"/>
      <c r="X244" s="1087"/>
      <c r="Y244" s="1087"/>
      <c r="Z244" s="1087"/>
      <c r="AA244" s="1559"/>
      <c r="AB244" s="503"/>
      <c r="AC244" s="503"/>
      <c r="AD244" s="503"/>
      <c r="AE244" s="503"/>
      <c r="AF244" s="1568">
        <v>11</v>
      </c>
    </row>
    <row r="245" spans="1:32" s="1568" customFormat="1" ht="11.25" customHeight="1">
      <c r="A245" s="917"/>
      <c r="B245" s="1563"/>
      <c r="C245" s="1563"/>
      <c r="D245" s="288"/>
      <c r="K245" s="1087"/>
      <c r="L245" s="1563"/>
      <c r="M245" s="1563"/>
      <c r="N245" s="1087"/>
      <c r="O245" s="1087"/>
      <c r="P245" s="1087"/>
      <c r="Q245" s="1087"/>
      <c r="R245" s="1563"/>
      <c r="S245" s="1087"/>
      <c r="T245" s="1087"/>
      <c r="U245" s="481"/>
      <c r="V245" s="1087"/>
      <c r="W245" s="1087"/>
      <c r="X245" s="1087"/>
      <c r="Y245" s="1087"/>
      <c r="Z245" s="1087"/>
      <c r="AA245" s="1559"/>
      <c r="AB245" s="503"/>
      <c r="AC245" s="503"/>
      <c r="AD245" s="503"/>
      <c r="AE245" s="503"/>
      <c r="AF245" s="1568">
        <v>11</v>
      </c>
    </row>
    <row r="246" spans="1:32" s="1568" customFormat="1" ht="11.25" customHeight="1">
      <c r="A246" s="917"/>
      <c r="B246" s="1563"/>
      <c r="C246" s="1563"/>
      <c r="D246" s="288"/>
      <c r="K246" s="1087"/>
      <c r="L246" s="1563"/>
      <c r="M246" s="1563"/>
      <c r="N246" s="1087"/>
      <c r="O246" s="1087"/>
      <c r="P246" s="1087"/>
      <c r="Q246" s="1087"/>
      <c r="R246" s="1563"/>
      <c r="S246" s="1087"/>
      <c r="T246" s="1087"/>
      <c r="U246" s="481"/>
      <c r="V246" s="1087"/>
      <c r="W246" s="1087"/>
      <c r="X246" s="1087"/>
      <c r="Y246" s="1087"/>
      <c r="Z246" s="1087"/>
      <c r="AA246" s="1559"/>
      <c r="AB246" s="503"/>
      <c r="AC246" s="503"/>
      <c r="AD246" s="503"/>
      <c r="AE246" s="503"/>
      <c r="AF246" s="1568">
        <v>11</v>
      </c>
    </row>
    <row r="247" spans="1:32" s="1568" customFormat="1" ht="11.25" customHeight="1">
      <c r="A247" s="917"/>
      <c r="B247" s="1563"/>
      <c r="C247" s="1563"/>
      <c r="D247" s="288"/>
      <c r="K247" s="1087"/>
      <c r="L247" s="1563"/>
      <c r="M247" s="1563"/>
      <c r="N247" s="1087"/>
      <c r="O247" s="1087"/>
      <c r="P247" s="1087"/>
      <c r="Q247" s="1087"/>
      <c r="R247" s="1563"/>
      <c r="S247" s="1087"/>
      <c r="T247" s="1087"/>
      <c r="U247" s="481"/>
      <c r="V247" s="1087"/>
      <c r="W247" s="1087"/>
      <c r="X247" s="1087"/>
      <c r="Y247" s="1087"/>
      <c r="Z247" s="1087"/>
      <c r="AA247" s="1559"/>
      <c r="AB247" s="503"/>
      <c r="AC247" s="503"/>
      <c r="AD247" s="503"/>
      <c r="AE247" s="503"/>
      <c r="AF247" s="1568">
        <v>11</v>
      </c>
    </row>
    <row r="248" spans="1:32" s="1568" customFormat="1" ht="11.25" customHeight="1">
      <c r="A248" s="917"/>
      <c r="B248" s="1563"/>
      <c r="C248" s="1563"/>
      <c r="D248" s="288"/>
      <c r="K248" s="1087"/>
      <c r="L248" s="1563"/>
      <c r="M248" s="1563"/>
      <c r="N248" s="1087"/>
      <c r="O248" s="1087"/>
      <c r="P248" s="1087"/>
      <c r="Q248" s="1087"/>
      <c r="R248" s="1563"/>
      <c r="S248" s="1087"/>
      <c r="T248" s="1087"/>
      <c r="U248" s="481"/>
      <c r="V248" s="1087"/>
      <c r="W248" s="1087"/>
      <c r="X248" s="1087"/>
      <c r="Y248" s="1087"/>
      <c r="Z248" s="1087"/>
      <c r="AA248" s="1559"/>
      <c r="AB248" s="503"/>
      <c r="AC248" s="503"/>
      <c r="AD248" s="503"/>
      <c r="AE248" s="503"/>
      <c r="AF248" s="1568">
        <v>11</v>
      </c>
    </row>
    <row r="249" spans="1:32" s="1568" customFormat="1" ht="11.25" customHeight="1">
      <c r="A249" s="917"/>
      <c r="B249" s="1563"/>
      <c r="C249" s="1563"/>
      <c r="D249" s="288"/>
      <c r="K249" s="1087"/>
      <c r="L249" s="1563"/>
      <c r="M249" s="1563"/>
      <c r="N249" s="1087"/>
      <c r="O249" s="1087"/>
      <c r="P249" s="1087"/>
      <c r="Q249" s="1087"/>
      <c r="R249" s="1563"/>
      <c r="S249" s="1087"/>
      <c r="T249" s="1087"/>
      <c r="U249" s="481"/>
      <c r="V249" s="1087"/>
      <c r="W249" s="1087"/>
      <c r="X249" s="1087"/>
      <c r="Y249" s="1087"/>
      <c r="Z249" s="1087"/>
      <c r="AA249" s="1559"/>
      <c r="AB249" s="503"/>
      <c r="AC249" s="503"/>
      <c r="AD249" s="503"/>
      <c r="AE249" s="503"/>
      <c r="AF249" s="1568">
        <v>11</v>
      </c>
    </row>
    <row r="250" spans="1:32" s="1568" customFormat="1" ht="11.25" customHeight="1">
      <c r="A250" s="917"/>
      <c r="B250" s="1563"/>
      <c r="C250" s="1563"/>
      <c r="D250" s="288"/>
      <c r="K250" s="1087"/>
      <c r="L250" s="1563"/>
      <c r="M250" s="1563"/>
      <c r="N250" s="1087"/>
      <c r="O250" s="1087"/>
      <c r="P250" s="1087"/>
      <c r="Q250" s="1087"/>
      <c r="R250" s="1563"/>
      <c r="S250" s="1087"/>
      <c r="T250" s="1087"/>
      <c r="U250" s="481"/>
      <c r="V250" s="1087"/>
      <c r="W250" s="1087"/>
      <c r="X250" s="1087"/>
      <c r="Y250" s="1087"/>
      <c r="Z250" s="1087"/>
      <c r="AA250" s="1559"/>
      <c r="AB250" s="503"/>
      <c r="AC250" s="503"/>
      <c r="AD250" s="503"/>
      <c r="AE250" s="503"/>
      <c r="AF250" s="1568">
        <v>11</v>
      </c>
    </row>
    <row r="251" spans="1:32" s="1568" customFormat="1" ht="11.25" customHeight="1">
      <c r="A251" s="917"/>
      <c r="B251" s="1563"/>
      <c r="C251" s="1563"/>
      <c r="D251" s="288"/>
      <c r="K251" s="1087"/>
      <c r="L251" s="1563"/>
      <c r="M251" s="1563"/>
      <c r="N251" s="1087"/>
      <c r="O251" s="1087"/>
      <c r="P251" s="1087"/>
      <c r="Q251" s="1087"/>
      <c r="R251" s="1563"/>
      <c r="S251" s="1087"/>
      <c r="T251" s="1087"/>
      <c r="U251" s="481"/>
      <c r="V251" s="1087"/>
      <c r="W251" s="1087"/>
      <c r="X251" s="1087"/>
      <c r="Y251" s="1087"/>
      <c r="Z251" s="1087"/>
      <c r="AA251" s="1559"/>
      <c r="AB251" s="503"/>
      <c r="AC251" s="503"/>
      <c r="AD251" s="503"/>
      <c r="AE251" s="503"/>
      <c r="AF251" s="1568">
        <v>11</v>
      </c>
    </row>
    <row r="252" spans="1:32" s="1568" customFormat="1" ht="11.25" customHeight="1">
      <c r="A252" s="917"/>
      <c r="B252" s="1563"/>
      <c r="C252" s="1563"/>
      <c r="D252" s="288"/>
      <c r="K252" s="1087"/>
      <c r="L252" s="1563"/>
      <c r="M252" s="1563"/>
      <c r="N252" s="1087"/>
      <c r="O252" s="1087"/>
      <c r="P252" s="1087"/>
      <c r="Q252" s="1087"/>
      <c r="R252" s="1563"/>
      <c r="S252" s="1087"/>
      <c r="T252" s="1087"/>
      <c r="U252" s="481"/>
      <c r="V252" s="1087"/>
      <c r="W252" s="1087"/>
      <c r="X252" s="1087"/>
      <c r="Y252" s="1087"/>
      <c r="Z252" s="1087"/>
      <c r="AA252" s="1559"/>
      <c r="AB252" s="503"/>
      <c r="AC252" s="503"/>
      <c r="AD252" s="503"/>
      <c r="AE252" s="503"/>
      <c r="AF252" s="1568">
        <v>11</v>
      </c>
    </row>
    <row r="253" spans="1:32" s="1568" customFormat="1" ht="11.25" customHeight="1">
      <c r="A253" s="917"/>
      <c r="B253" s="1563"/>
      <c r="C253" s="1563"/>
      <c r="D253" s="288"/>
      <c r="K253" s="1087"/>
      <c r="L253" s="1563"/>
      <c r="M253" s="1563"/>
      <c r="N253" s="1087"/>
      <c r="O253" s="1087"/>
      <c r="P253" s="1087"/>
      <c r="Q253" s="1087"/>
      <c r="R253" s="1563"/>
      <c r="S253" s="1087"/>
      <c r="T253" s="1087"/>
      <c r="U253" s="481"/>
      <c r="V253" s="1087"/>
      <c r="W253" s="1087"/>
      <c r="X253" s="1087"/>
      <c r="Y253" s="1087"/>
      <c r="Z253" s="1087"/>
      <c r="AA253" s="1559"/>
      <c r="AB253" s="503"/>
      <c r="AC253" s="503"/>
      <c r="AD253" s="503"/>
      <c r="AE253" s="503"/>
      <c r="AF253" s="1568">
        <v>11</v>
      </c>
    </row>
    <row r="254" spans="1:32" s="1568" customFormat="1" ht="11.25" customHeight="1">
      <c r="A254" s="917"/>
      <c r="B254" s="1563"/>
      <c r="C254" s="1563"/>
      <c r="D254" s="288"/>
      <c r="K254" s="1087"/>
      <c r="L254" s="1563"/>
      <c r="M254" s="1563"/>
      <c r="N254" s="1087"/>
      <c r="O254" s="1087"/>
      <c r="P254" s="1087"/>
      <c r="Q254" s="1087"/>
      <c r="R254" s="1563"/>
      <c r="S254" s="1087"/>
      <c r="T254" s="1087"/>
      <c r="U254" s="481"/>
      <c r="V254" s="1087"/>
      <c r="W254" s="1087"/>
      <c r="X254" s="1087"/>
      <c r="Y254" s="1087"/>
      <c r="Z254" s="1087"/>
      <c r="AA254" s="1559"/>
      <c r="AB254" s="503"/>
      <c r="AC254" s="503"/>
      <c r="AD254" s="503"/>
      <c r="AE254" s="503"/>
      <c r="AF254" s="1568">
        <v>11</v>
      </c>
    </row>
    <row r="255" spans="1:32" s="1568" customFormat="1" ht="11.25" customHeight="1">
      <c r="A255" s="917"/>
      <c r="B255" s="1563"/>
      <c r="C255" s="1563"/>
      <c r="D255" s="288"/>
      <c r="K255" s="1087"/>
      <c r="L255" s="1563"/>
      <c r="M255" s="1563"/>
      <c r="N255" s="1087"/>
      <c r="O255" s="1087"/>
      <c r="P255" s="1087"/>
      <c r="Q255" s="1087"/>
      <c r="R255" s="1563"/>
      <c r="S255" s="1087"/>
      <c r="T255" s="1087"/>
      <c r="U255" s="481"/>
      <c r="V255" s="1087"/>
      <c r="W255" s="1087"/>
      <c r="X255" s="1087"/>
      <c r="Y255" s="1087"/>
      <c r="Z255" s="1087"/>
      <c r="AA255" s="1559"/>
      <c r="AB255" s="503"/>
      <c r="AC255" s="503"/>
      <c r="AD255" s="503"/>
      <c r="AE255" s="503"/>
      <c r="AF255" s="1568">
        <v>11</v>
      </c>
    </row>
    <row r="256" spans="1:32" s="1568" customFormat="1" ht="11.25" customHeight="1">
      <c r="A256" s="917"/>
      <c r="B256" s="1563"/>
      <c r="C256" s="1563"/>
      <c r="D256" s="288"/>
      <c r="K256" s="1087"/>
      <c r="L256" s="1563"/>
      <c r="M256" s="1563"/>
      <c r="N256" s="1087"/>
      <c r="O256" s="1087"/>
      <c r="P256" s="1087"/>
      <c r="Q256" s="1087"/>
      <c r="R256" s="1563"/>
      <c r="S256" s="1087"/>
      <c r="T256" s="1087"/>
      <c r="U256" s="481"/>
      <c r="V256" s="1087"/>
      <c r="W256" s="1087"/>
      <c r="X256" s="1087"/>
      <c r="Y256" s="1087"/>
      <c r="Z256" s="1087"/>
      <c r="AA256" s="1559"/>
      <c r="AB256" s="503"/>
      <c r="AC256" s="503"/>
      <c r="AD256" s="503"/>
      <c r="AE256" s="503"/>
      <c r="AF256" s="1568">
        <v>11</v>
      </c>
    </row>
    <row r="257" spans="1:32" s="1568" customFormat="1" ht="11.25" customHeight="1">
      <c r="A257" s="917"/>
      <c r="B257" s="1563"/>
      <c r="C257" s="1563"/>
      <c r="D257" s="288"/>
      <c r="K257" s="1087"/>
      <c r="L257" s="1563"/>
      <c r="M257" s="1563"/>
      <c r="N257" s="1087"/>
      <c r="O257" s="1087"/>
      <c r="P257" s="1087"/>
      <c r="Q257" s="1087"/>
      <c r="R257" s="1563"/>
      <c r="S257" s="1087"/>
      <c r="T257" s="1087"/>
      <c r="U257" s="481"/>
      <c r="V257" s="1087"/>
      <c r="W257" s="1087"/>
      <c r="X257" s="1087"/>
      <c r="Y257" s="1087"/>
      <c r="Z257" s="1087"/>
      <c r="AA257" s="1559"/>
      <c r="AB257" s="503"/>
      <c r="AC257" s="503"/>
      <c r="AD257" s="503"/>
      <c r="AE257" s="503"/>
      <c r="AF257" s="1568">
        <v>11</v>
      </c>
    </row>
    <row r="258" spans="1:32" s="1568" customFormat="1" ht="11.25" customHeight="1">
      <c r="A258" s="917"/>
      <c r="B258" s="1563"/>
      <c r="C258" s="1563"/>
      <c r="D258" s="288"/>
      <c r="K258" s="1087"/>
      <c r="L258" s="1563"/>
      <c r="M258" s="1563"/>
      <c r="N258" s="1087"/>
      <c r="O258" s="1087"/>
      <c r="P258" s="1087"/>
      <c r="Q258" s="1087"/>
      <c r="R258" s="1563"/>
      <c r="S258" s="1087"/>
      <c r="T258" s="1087"/>
      <c r="U258" s="481"/>
      <c r="V258" s="1087"/>
      <c r="W258" s="1087"/>
      <c r="X258" s="1087"/>
      <c r="Y258" s="1087"/>
      <c r="Z258" s="1087"/>
      <c r="AA258" s="1559"/>
      <c r="AB258" s="503"/>
      <c r="AC258" s="503"/>
      <c r="AD258" s="503"/>
      <c r="AE258" s="503"/>
      <c r="AF258" s="1568">
        <v>11</v>
      </c>
    </row>
    <row r="259" spans="1:32" s="1568" customFormat="1" ht="11.25" customHeight="1">
      <c r="A259" s="917"/>
      <c r="B259" s="1563"/>
      <c r="C259" s="1563"/>
      <c r="D259" s="288"/>
      <c r="K259" s="1087"/>
      <c r="L259" s="1563"/>
      <c r="M259" s="1563"/>
      <c r="N259" s="1087"/>
      <c r="O259" s="1087"/>
      <c r="P259" s="1087"/>
      <c r="Q259" s="1087"/>
      <c r="R259" s="1563"/>
      <c r="S259" s="1087"/>
      <c r="T259" s="1087"/>
      <c r="U259" s="481"/>
      <c r="V259" s="1087"/>
      <c r="W259" s="1087"/>
      <c r="X259" s="1087"/>
      <c r="Y259" s="1087"/>
      <c r="Z259" s="1087"/>
      <c r="AA259" s="1559"/>
      <c r="AB259" s="503"/>
      <c r="AC259" s="503"/>
      <c r="AD259" s="503"/>
      <c r="AE259" s="503"/>
      <c r="AF259" s="1568">
        <v>11</v>
      </c>
    </row>
    <row r="260" spans="1:32" s="1568" customFormat="1" ht="11.25" customHeight="1">
      <c r="A260" s="917"/>
      <c r="B260" s="1563"/>
      <c r="C260" s="1563"/>
      <c r="D260" s="288"/>
      <c r="K260" s="1087"/>
      <c r="L260" s="1563"/>
      <c r="M260" s="1563"/>
      <c r="N260" s="1087"/>
      <c r="O260" s="1087"/>
      <c r="P260" s="1087"/>
      <c r="Q260" s="1087"/>
      <c r="R260" s="1563"/>
      <c r="S260" s="1087"/>
      <c r="T260" s="1087"/>
      <c r="U260" s="481"/>
      <c r="V260" s="1087"/>
      <c r="W260" s="1087"/>
      <c r="X260" s="1087"/>
      <c r="Y260" s="1087"/>
      <c r="Z260" s="1087"/>
      <c r="AA260" s="1559"/>
      <c r="AB260" s="503"/>
      <c r="AC260" s="503"/>
      <c r="AD260" s="503"/>
      <c r="AE260" s="503"/>
      <c r="AF260" s="1568">
        <v>11</v>
      </c>
    </row>
    <row r="261" spans="1:32" s="1568" customFormat="1" ht="11.25" customHeight="1">
      <c r="A261" s="917"/>
      <c r="B261" s="1563"/>
      <c r="C261" s="1563"/>
      <c r="D261" s="288"/>
      <c r="K261" s="1087"/>
      <c r="L261" s="1563"/>
      <c r="M261" s="1563"/>
      <c r="N261" s="1087"/>
      <c r="O261" s="1087"/>
      <c r="P261" s="1087"/>
      <c r="Q261" s="1087"/>
      <c r="R261" s="1563"/>
      <c r="S261" s="1087"/>
      <c r="T261" s="1087"/>
      <c r="U261" s="481"/>
      <c r="V261" s="1087"/>
      <c r="W261" s="1087"/>
      <c r="X261" s="1087"/>
      <c r="Y261" s="1087"/>
      <c r="Z261" s="1087"/>
      <c r="AA261" s="1559"/>
      <c r="AB261" s="503"/>
      <c r="AC261" s="503"/>
      <c r="AD261" s="503"/>
      <c r="AE261" s="503"/>
      <c r="AF261" s="1568">
        <v>11</v>
      </c>
    </row>
    <row r="262" spans="1:32" s="1568" customFormat="1" ht="11.25" customHeight="1">
      <c r="A262" s="917"/>
      <c r="B262" s="1563"/>
      <c r="C262" s="1563"/>
      <c r="D262" s="288"/>
      <c r="K262" s="1087"/>
      <c r="L262" s="1563"/>
      <c r="M262" s="1563"/>
      <c r="N262" s="1087"/>
      <c r="O262" s="1087"/>
      <c r="P262" s="1087"/>
      <c r="Q262" s="1087"/>
      <c r="R262" s="1563"/>
      <c r="S262" s="1087"/>
      <c r="T262" s="1087"/>
      <c r="U262" s="481"/>
      <c r="V262" s="1087"/>
      <c r="W262" s="1087"/>
      <c r="X262" s="1087"/>
      <c r="Y262" s="1087"/>
      <c r="Z262" s="1087"/>
      <c r="AA262" s="1559"/>
      <c r="AB262" s="503"/>
      <c r="AC262" s="503"/>
      <c r="AD262" s="503"/>
      <c r="AE262" s="503"/>
      <c r="AF262" s="1568">
        <v>11</v>
      </c>
    </row>
    <row r="263" spans="1:32" s="1568" customFormat="1" ht="11.25" customHeight="1">
      <c r="A263" s="917"/>
      <c r="B263" s="1563"/>
      <c r="C263" s="1563"/>
      <c r="D263" s="288"/>
      <c r="K263" s="1087"/>
      <c r="L263" s="1563"/>
      <c r="M263" s="1563"/>
      <c r="N263" s="1087"/>
      <c r="O263" s="1087"/>
      <c r="P263" s="1087"/>
      <c r="Q263" s="1087"/>
      <c r="R263" s="1563"/>
      <c r="S263" s="1087"/>
      <c r="T263" s="1087"/>
      <c r="U263" s="481"/>
      <c r="V263" s="1087"/>
      <c r="W263" s="1087"/>
      <c r="X263" s="1087"/>
      <c r="Y263" s="1087"/>
      <c r="Z263" s="1087"/>
      <c r="AA263" s="1559"/>
      <c r="AB263" s="503"/>
      <c r="AC263" s="503"/>
      <c r="AD263" s="503"/>
      <c r="AE263" s="503"/>
      <c r="AF263" s="1568">
        <v>11</v>
      </c>
    </row>
    <row r="264" spans="1:32" s="1568" customFormat="1" ht="11.25" customHeight="1">
      <c r="A264" s="917"/>
      <c r="B264" s="1563"/>
      <c r="C264" s="1563"/>
      <c r="D264" s="288"/>
      <c r="K264" s="1087"/>
      <c r="L264" s="1563"/>
      <c r="M264" s="1563"/>
      <c r="N264" s="1087"/>
      <c r="O264" s="1087"/>
      <c r="P264" s="1087"/>
      <c r="Q264" s="1087"/>
      <c r="R264" s="1563"/>
      <c r="S264" s="1087"/>
      <c r="T264" s="1087"/>
      <c r="U264" s="481"/>
      <c r="V264" s="1087"/>
      <c r="W264" s="1087"/>
      <c r="X264" s="1087"/>
      <c r="Y264" s="1087"/>
      <c r="Z264" s="1087"/>
      <c r="AA264" s="1559"/>
      <c r="AB264" s="503"/>
      <c r="AC264" s="503"/>
      <c r="AD264" s="503"/>
      <c r="AE264" s="503"/>
      <c r="AF264" s="1568">
        <v>11</v>
      </c>
    </row>
    <row r="265" spans="1:32" s="1568" customFormat="1" ht="11.25" customHeight="1">
      <c r="A265" s="917"/>
      <c r="B265" s="1563"/>
      <c r="C265" s="1563"/>
      <c r="D265" s="288"/>
      <c r="K265" s="1087"/>
      <c r="L265" s="1563"/>
      <c r="M265" s="1563"/>
      <c r="N265" s="1087"/>
      <c r="O265" s="1087"/>
      <c r="P265" s="1087"/>
      <c r="Q265" s="1087"/>
      <c r="R265" s="1563"/>
      <c r="S265" s="1087"/>
      <c r="T265" s="1087"/>
      <c r="U265" s="481"/>
      <c r="V265" s="1087"/>
      <c r="W265" s="1087"/>
      <c r="X265" s="1087"/>
      <c r="Y265" s="1087"/>
      <c r="Z265" s="1087"/>
      <c r="AA265" s="1559"/>
      <c r="AB265" s="503"/>
      <c r="AC265" s="503"/>
      <c r="AD265" s="503"/>
      <c r="AE265" s="503"/>
      <c r="AF265" s="1568">
        <v>11</v>
      </c>
    </row>
    <row r="266" spans="1:32" s="1568" customFormat="1" ht="11.25" customHeight="1">
      <c r="A266" s="917"/>
      <c r="B266" s="1563"/>
      <c r="C266" s="1563"/>
      <c r="D266" s="288"/>
      <c r="K266" s="1087"/>
      <c r="L266" s="1563"/>
      <c r="M266" s="1563"/>
      <c r="N266" s="1087"/>
      <c r="O266" s="1087"/>
      <c r="P266" s="1087"/>
      <c r="Q266" s="1087"/>
      <c r="R266" s="1563"/>
      <c r="S266" s="1087"/>
      <c r="T266" s="1087"/>
      <c r="U266" s="481"/>
      <c r="V266" s="1087"/>
      <c r="W266" s="1087"/>
      <c r="X266" s="1087"/>
      <c r="Y266" s="1087"/>
      <c r="Z266" s="1087"/>
      <c r="AA266" s="1559"/>
      <c r="AB266" s="503"/>
      <c r="AC266" s="503"/>
      <c r="AD266" s="503"/>
      <c r="AE266" s="503"/>
      <c r="AF266" s="1568">
        <v>11</v>
      </c>
    </row>
    <row r="267" spans="1:32" s="1568" customFormat="1" ht="11.25" customHeight="1">
      <c r="A267" s="917"/>
      <c r="B267" s="1563"/>
      <c r="C267" s="1563"/>
      <c r="D267" s="288"/>
      <c r="K267" s="1087"/>
      <c r="L267" s="1563"/>
      <c r="M267" s="1563"/>
      <c r="N267" s="1087"/>
      <c r="O267" s="1087"/>
      <c r="P267" s="1087"/>
      <c r="Q267" s="1087"/>
      <c r="R267" s="1563"/>
      <c r="S267" s="1087"/>
      <c r="T267" s="1087"/>
      <c r="U267" s="481"/>
      <c r="V267" s="1087"/>
      <c r="W267" s="1087"/>
      <c r="X267" s="1087"/>
      <c r="Y267" s="1087"/>
      <c r="Z267" s="1087"/>
      <c r="AA267" s="1559"/>
      <c r="AB267" s="503"/>
      <c r="AC267" s="503"/>
      <c r="AD267" s="503"/>
      <c r="AE267" s="503"/>
      <c r="AF267" s="1568">
        <v>11</v>
      </c>
    </row>
    <row r="268" spans="1:32" s="1568" customFormat="1" ht="11.25" customHeight="1">
      <c r="A268" s="917"/>
      <c r="B268" s="1563"/>
      <c r="C268" s="1563"/>
      <c r="D268" s="288"/>
      <c r="K268" s="1087"/>
      <c r="L268" s="1563"/>
      <c r="M268" s="1563"/>
      <c r="N268" s="1087"/>
      <c r="O268" s="1087"/>
      <c r="P268" s="1087"/>
      <c r="Q268" s="1087"/>
      <c r="R268" s="1563"/>
      <c r="S268" s="1087"/>
      <c r="T268" s="1087"/>
      <c r="U268" s="481"/>
      <c r="V268" s="1087"/>
      <c r="W268" s="1087"/>
      <c r="X268" s="1087"/>
      <c r="Y268" s="1087"/>
      <c r="Z268" s="1087"/>
      <c r="AA268" s="1559"/>
      <c r="AB268" s="503"/>
      <c r="AC268" s="503"/>
      <c r="AD268" s="503"/>
      <c r="AE268" s="503"/>
      <c r="AF268" s="1568">
        <v>11</v>
      </c>
    </row>
    <row r="269" spans="1:32" s="1568" customFormat="1" ht="11.25" customHeight="1">
      <c r="A269" s="917"/>
      <c r="B269" s="1563"/>
      <c r="C269" s="1563"/>
      <c r="D269" s="288"/>
      <c r="K269" s="1087"/>
      <c r="L269" s="1563"/>
      <c r="M269" s="1563"/>
      <c r="N269" s="1087"/>
      <c r="O269" s="1087"/>
      <c r="P269" s="1087"/>
      <c r="Q269" s="1087"/>
      <c r="R269" s="1563"/>
      <c r="S269" s="1087"/>
      <c r="T269" s="1087"/>
      <c r="U269" s="481"/>
      <c r="V269" s="1087"/>
      <c r="W269" s="1087"/>
      <c r="X269" s="1087"/>
      <c r="Y269" s="1087"/>
      <c r="Z269" s="1087"/>
      <c r="AA269" s="1559"/>
      <c r="AB269" s="503"/>
      <c r="AC269" s="503"/>
      <c r="AD269" s="503"/>
      <c r="AE269" s="503"/>
      <c r="AF269" s="1568">
        <v>11</v>
      </c>
    </row>
    <row r="270" spans="1:32" s="1568" customFormat="1" ht="11.25" customHeight="1">
      <c r="A270" s="917"/>
      <c r="B270" s="1563"/>
      <c r="C270" s="1563"/>
      <c r="D270" s="288"/>
      <c r="K270" s="1087"/>
      <c r="L270" s="1563"/>
      <c r="M270" s="1563"/>
      <c r="N270" s="1087"/>
      <c r="O270" s="1087"/>
      <c r="P270" s="1087"/>
      <c r="Q270" s="1087"/>
      <c r="R270" s="1563"/>
      <c r="S270" s="1087"/>
      <c r="T270" s="1087"/>
      <c r="U270" s="481"/>
      <c r="V270" s="1087"/>
      <c r="W270" s="1087"/>
      <c r="X270" s="1087"/>
      <c r="Y270" s="1087"/>
      <c r="Z270" s="1087"/>
      <c r="AA270" s="1559"/>
      <c r="AB270" s="503"/>
      <c r="AC270" s="503"/>
      <c r="AD270" s="503"/>
      <c r="AE270" s="503"/>
      <c r="AF270" s="1568">
        <v>11</v>
      </c>
    </row>
    <row r="271" spans="1:32" s="1568" customFormat="1" ht="11.25" customHeight="1">
      <c r="A271" s="917"/>
      <c r="B271" s="1563"/>
      <c r="C271" s="1563"/>
      <c r="D271" s="288"/>
      <c r="K271" s="1087"/>
      <c r="L271" s="1563"/>
      <c r="M271" s="1563"/>
      <c r="N271" s="1087"/>
      <c r="O271" s="1087"/>
      <c r="P271" s="1087"/>
      <c r="Q271" s="1087"/>
      <c r="R271" s="1563"/>
      <c r="S271" s="1087"/>
      <c r="T271" s="1087"/>
      <c r="U271" s="481"/>
      <c r="V271" s="1087"/>
      <c r="W271" s="1087"/>
      <c r="X271" s="1087"/>
      <c r="Y271" s="1087"/>
      <c r="Z271" s="1087"/>
      <c r="AA271" s="1559"/>
      <c r="AB271" s="503"/>
      <c r="AC271" s="503"/>
      <c r="AD271" s="503"/>
      <c r="AE271" s="503"/>
      <c r="AF271" s="1568">
        <v>11</v>
      </c>
    </row>
    <row r="272" spans="1:32" s="1568" customFormat="1" ht="11.25" customHeight="1">
      <c r="A272" s="917"/>
      <c r="B272" s="1563"/>
      <c r="C272" s="1563"/>
      <c r="D272" s="288"/>
      <c r="K272" s="1087"/>
      <c r="L272" s="1563"/>
      <c r="M272" s="1563"/>
      <c r="N272" s="1087"/>
      <c r="O272" s="1087"/>
      <c r="P272" s="1087"/>
      <c r="Q272" s="1087"/>
      <c r="R272" s="1563"/>
      <c r="S272" s="1087"/>
      <c r="T272" s="1087"/>
      <c r="U272" s="481"/>
      <c r="V272" s="1087"/>
      <c r="W272" s="1087"/>
      <c r="X272" s="1087"/>
      <c r="Y272" s="1087"/>
      <c r="Z272" s="1087"/>
      <c r="AA272" s="1559"/>
      <c r="AB272" s="503"/>
      <c r="AC272" s="503"/>
      <c r="AD272" s="503"/>
      <c r="AE272" s="503"/>
      <c r="AF272" s="1568">
        <v>11</v>
      </c>
    </row>
    <row r="273" spans="1:32" s="1568" customFormat="1" ht="11.25" customHeight="1">
      <c r="A273" s="917"/>
      <c r="B273" s="1563"/>
      <c r="C273" s="1563"/>
      <c r="D273" s="288"/>
      <c r="K273" s="1087"/>
      <c r="L273" s="1563"/>
      <c r="M273" s="1563"/>
      <c r="N273" s="1087"/>
      <c r="O273" s="1087"/>
      <c r="P273" s="1087"/>
      <c r="Q273" s="1087"/>
      <c r="R273" s="1563"/>
      <c r="S273" s="1087"/>
      <c r="T273" s="1087"/>
      <c r="U273" s="481"/>
      <c r="V273" s="1087"/>
      <c r="W273" s="1087"/>
      <c r="X273" s="1087"/>
      <c r="Y273" s="1087"/>
      <c r="Z273" s="1087"/>
      <c r="AA273" s="1559"/>
      <c r="AB273" s="503"/>
      <c r="AC273" s="503"/>
      <c r="AD273" s="503"/>
      <c r="AE273" s="503"/>
      <c r="AF273" s="1568">
        <v>11</v>
      </c>
    </row>
    <row r="274" spans="1:32" s="1568" customFormat="1" ht="11.25" customHeight="1">
      <c r="A274" s="917"/>
      <c r="B274" s="1563"/>
      <c r="C274" s="1563"/>
      <c r="D274" s="288"/>
      <c r="K274" s="1087"/>
      <c r="L274" s="1563"/>
      <c r="M274" s="1563"/>
      <c r="N274" s="1087"/>
      <c r="O274" s="1087"/>
      <c r="P274" s="1087"/>
      <c r="Q274" s="1087"/>
      <c r="R274" s="1563"/>
      <c r="S274" s="1087"/>
      <c r="T274" s="1087"/>
      <c r="U274" s="481"/>
      <c r="V274" s="1087"/>
      <c r="W274" s="1087"/>
      <c r="X274" s="1087"/>
      <c r="Y274" s="1087"/>
      <c r="Z274" s="1087"/>
      <c r="AA274" s="1559"/>
      <c r="AB274" s="503"/>
      <c r="AC274" s="503"/>
      <c r="AD274" s="503"/>
      <c r="AE274" s="503"/>
      <c r="AF274" s="1568">
        <v>11</v>
      </c>
    </row>
    <row r="275" spans="1:32" s="1568" customFormat="1" ht="11.25" customHeight="1">
      <c r="A275" s="917"/>
      <c r="B275" s="1563"/>
      <c r="C275" s="1563"/>
      <c r="D275" s="288"/>
      <c r="K275" s="1087"/>
      <c r="L275" s="1563"/>
      <c r="M275" s="1563"/>
      <c r="N275" s="1087"/>
      <c r="O275" s="1087"/>
      <c r="P275" s="1087"/>
      <c r="Q275" s="1087"/>
      <c r="R275" s="1563"/>
      <c r="S275" s="1087"/>
      <c r="T275" s="1087"/>
      <c r="U275" s="481"/>
      <c r="V275" s="1087"/>
      <c r="W275" s="1087"/>
      <c r="X275" s="1087"/>
      <c r="Y275" s="1087"/>
      <c r="Z275" s="1087"/>
      <c r="AA275" s="1559"/>
      <c r="AB275" s="503"/>
      <c r="AC275" s="503"/>
      <c r="AD275" s="503"/>
      <c r="AE275" s="503"/>
      <c r="AF275" s="1568">
        <v>11</v>
      </c>
    </row>
    <row r="276" spans="1:32" s="1568" customFormat="1" ht="11.25" customHeight="1">
      <c r="A276" s="917"/>
      <c r="B276" s="1563"/>
      <c r="C276" s="1563"/>
      <c r="D276" s="288"/>
      <c r="K276" s="1087"/>
      <c r="L276" s="1563"/>
      <c r="M276" s="1563"/>
      <c r="N276" s="1087"/>
      <c r="O276" s="1087"/>
      <c r="P276" s="1087"/>
      <c r="Q276" s="1087"/>
      <c r="R276" s="1563"/>
      <c r="S276" s="1087"/>
      <c r="T276" s="1087"/>
      <c r="U276" s="481"/>
      <c r="V276" s="1087"/>
      <c r="W276" s="1087"/>
      <c r="X276" s="1087"/>
      <c r="Y276" s="1087"/>
      <c r="Z276" s="1087"/>
      <c r="AA276" s="1559"/>
      <c r="AB276" s="503"/>
      <c r="AC276" s="503"/>
      <c r="AD276" s="503"/>
      <c r="AE276" s="503"/>
      <c r="AF276" s="1568">
        <v>11</v>
      </c>
    </row>
    <row r="277" spans="1:32" s="1568" customFormat="1" ht="11.25" customHeight="1">
      <c r="A277" s="917"/>
      <c r="B277" s="1563"/>
      <c r="C277" s="1563"/>
      <c r="D277" s="288"/>
      <c r="K277" s="1087"/>
      <c r="L277" s="1563"/>
      <c r="M277" s="1563"/>
      <c r="N277" s="1087"/>
      <c r="O277" s="1087"/>
      <c r="P277" s="1087"/>
      <c r="Q277" s="1087"/>
      <c r="R277" s="1563"/>
      <c r="S277" s="1087"/>
      <c r="T277" s="1087"/>
      <c r="U277" s="481"/>
      <c r="V277" s="1087"/>
      <c r="W277" s="1087"/>
      <c r="X277" s="1087"/>
      <c r="Y277" s="1087"/>
      <c r="Z277" s="1087"/>
      <c r="AA277" s="1559"/>
      <c r="AB277" s="503"/>
      <c r="AC277" s="503"/>
      <c r="AD277" s="503"/>
      <c r="AE277" s="503"/>
      <c r="AF277" s="1568">
        <v>11</v>
      </c>
    </row>
    <row r="278" spans="1:32" s="1568" customFormat="1" ht="11.25" customHeight="1">
      <c r="A278" s="917"/>
      <c r="B278" s="1563"/>
      <c r="C278" s="1563"/>
      <c r="D278" s="288"/>
      <c r="K278" s="1087"/>
      <c r="L278" s="1563"/>
      <c r="M278" s="1563"/>
      <c r="N278" s="1087"/>
      <c r="O278" s="1087"/>
      <c r="P278" s="1087"/>
      <c r="Q278" s="1087"/>
      <c r="R278" s="1563"/>
      <c r="S278" s="1087"/>
      <c r="T278" s="1087"/>
      <c r="U278" s="481"/>
      <c r="V278" s="1087"/>
      <c r="W278" s="1087"/>
      <c r="X278" s="1087"/>
      <c r="Y278" s="1087"/>
      <c r="Z278" s="1087"/>
      <c r="AA278" s="1559"/>
      <c r="AB278" s="503"/>
      <c r="AC278" s="503"/>
      <c r="AD278" s="503"/>
      <c r="AE278" s="503"/>
      <c r="AF278" s="1568">
        <v>11</v>
      </c>
    </row>
    <row r="279" spans="1:32" s="1568" customFormat="1" ht="11.25" customHeight="1">
      <c r="A279" s="917"/>
      <c r="B279" s="1563"/>
      <c r="C279" s="1563"/>
      <c r="D279" s="288"/>
      <c r="K279" s="1087"/>
      <c r="L279" s="1563"/>
      <c r="M279" s="1563"/>
      <c r="N279" s="1087"/>
      <c r="O279" s="1087"/>
      <c r="P279" s="1087"/>
      <c r="Q279" s="1087"/>
      <c r="R279" s="1563"/>
      <c r="S279" s="1087"/>
      <c r="T279" s="1087"/>
      <c r="U279" s="481"/>
      <c r="V279" s="1087"/>
      <c r="W279" s="1087"/>
      <c r="X279" s="1087"/>
      <c r="Y279" s="1087"/>
      <c r="Z279" s="1087"/>
      <c r="AA279" s="1559"/>
      <c r="AB279" s="503"/>
      <c r="AC279" s="503"/>
      <c r="AD279" s="503"/>
      <c r="AE279" s="503"/>
      <c r="AF279" s="1568">
        <v>11</v>
      </c>
    </row>
    <row r="280" spans="1:32" s="1568" customFormat="1" ht="11.25" customHeight="1">
      <c r="A280" s="917"/>
      <c r="B280" s="1563"/>
      <c r="C280" s="1563"/>
      <c r="D280" s="288"/>
      <c r="K280" s="1087"/>
      <c r="L280" s="1563"/>
      <c r="M280" s="1563"/>
      <c r="N280" s="1087"/>
      <c r="O280" s="1087"/>
      <c r="P280" s="1087"/>
      <c r="Q280" s="1087"/>
      <c r="R280" s="1563"/>
      <c r="S280" s="1087"/>
      <c r="T280" s="1087"/>
      <c r="U280" s="481"/>
      <c r="V280" s="1087"/>
      <c r="W280" s="1087"/>
      <c r="X280" s="1087"/>
      <c r="Y280" s="1087"/>
      <c r="Z280" s="1087"/>
      <c r="AA280" s="1559"/>
      <c r="AB280" s="503"/>
      <c r="AC280" s="503"/>
      <c r="AD280" s="503"/>
      <c r="AE280" s="503"/>
      <c r="AF280" s="1568">
        <v>11</v>
      </c>
    </row>
    <row r="281" spans="1:32" s="1568" customFormat="1" ht="11.25" customHeight="1">
      <c r="A281" s="917"/>
      <c r="B281" s="1563"/>
      <c r="C281" s="1563"/>
      <c r="D281" s="288"/>
      <c r="K281" s="1087"/>
      <c r="L281" s="1563"/>
      <c r="M281" s="1563"/>
      <c r="N281" s="1087"/>
      <c r="O281" s="1087"/>
      <c r="P281" s="1087"/>
      <c r="Q281" s="1087"/>
      <c r="R281" s="1563"/>
      <c r="S281" s="1087"/>
      <c r="T281" s="1087"/>
      <c r="U281" s="481"/>
      <c r="V281" s="1087"/>
      <c r="W281" s="1087"/>
      <c r="X281" s="1087"/>
      <c r="Y281" s="1087"/>
      <c r="Z281" s="1087"/>
      <c r="AA281" s="1559"/>
      <c r="AB281" s="503"/>
      <c r="AC281" s="503"/>
      <c r="AD281" s="503"/>
      <c r="AE281" s="503"/>
      <c r="AF281" s="1568">
        <v>11</v>
      </c>
    </row>
    <row r="282" spans="1:32" s="1568" customFormat="1" ht="11.25" customHeight="1">
      <c r="A282" s="917"/>
      <c r="B282" s="1563"/>
      <c r="C282" s="1563"/>
      <c r="D282" s="288"/>
      <c r="K282" s="1087"/>
      <c r="L282" s="1563"/>
      <c r="M282" s="1563"/>
      <c r="N282" s="1087"/>
      <c r="O282" s="1087"/>
      <c r="P282" s="1087"/>
      <c r="Q282" s="1087"/>
      <c r="R282" s="1563"/>
      <c r="S282" s="1087"/>
      <c r="T282" s="1087"/>
      <c r="U282" s="481"/>
      <c r="V282" s="1087"/>
      <c r="W282" s="1087"/>
      <c r="X282" s="1087"/>
      <c r="Y282" s="1087"/>
      <c r="Z282" s="1087"/>
      <c r="AA282" s="1559"/>
      <c r="AB282" s="503"/>
      <c r="AC282" s="503"/>
      <c r="AD282" s="503"/>
      <c r="AE282" s="503"/>
      <c r="AF282" s="1568">
        <v>11</v>
      </c>
    </row>
    <row r="283" spans="1:32" s="1568" customFormat="1" ht="11.25" customHeight="1">
      <c r="A283" s="917"/>
      <c r="B283" s="1563"/>
      <c r="C283" s="1563"/>
      <c r="D283" s="288"/>
      <c r="K283" s="1087"/>
      <c r="L283" s="1563"/>
      <c r="M283" s="1563"/>
      <c r="N283" s="1087"/>
      <c r="O283" s="1087"/>
      <c r="P283" s="1087"/>
      <c r="Q283" s="1087"/>
      <c r="R283" s="1563"/>
      <c r="S283" s="1087"/>
      <c r="T283" s="1087"/>
      <c r="U283" s="481"/>
      <c r="V283" s="1087"/>
      <c r="W283" s="1087"/>
      <c r="X283" s="1087"/>
      <c r="Y283" s="1087"/>
      <c r="Z283" s="1087"/>
      <c r="AA283" s="1559"/>
      <c r="AB283" s="503"/>
      <c r="AC283" s="503"/>
      <c r="AD283" s="503"/>
      <c r="AE283" s="503"/>
      <c r="AF283" s="1568">
        <v>11</v>
      </c>
    </row>
    <row r="284" spans="1:32" s="1568" customFormat="1" ht="11.25" customHeight="1">
      <c r="A284" s="917"/>
      <c r="B284" s="1563"/>
      <c r="C284" s="1563"/>
      <c r="D284" s="288"/>
      <c r="K284" s="1087"/>
      <c r="L284" s="1563"/>
      <c r="M284" s="1563"/>
      <c r="N284" s="1087"/>
      <c r="O284" s="1087"/>
      <c r="P284" s="1087"/>
      <c r="Q284" s="1087"/>
      <c r="R284" s="1563"/>
      <c r="S284" s="1087"/>
      <c r="T284" s="1087"/>
      <c r="U284" s="481"/>
      <c r="V284" s="1087"/>
      <c r="W284" s="1087"/>
      <c r="X284" s="1087"/>
      <c r="Y284" s="1087"/>
      <c r="Z284" s="1087"/>
      <c r="AA284" s="1559"/>
      <c r="AB284" s="503"/>
      <c r="AC284" s="503"/>
      <c r="AD284" s="503"/>
      <c r="AE284" s="503"/>
      <c r="AF284" s="1568">
        <v>11</v>
      </c>
    </row>
    <row r="285" spans="1:32" s="1568" customFormat="1" ht="11.25" customHeight="1">
      <c r="A285" s="917"/>
      <c r="B285" s="1563"/>
      <c r="C285" s="1563"/>
      <c r="D285" s="288"/>
      <c r="K285" s="1087"/>
      <c r="L285" s="1563"/>
      <c r="M285" s="1563"/>
      <c r="N285" s="1087"/>
      <c r="O285" s="1087"/>
      <c r="P285" s="1087"/>
      <c r="Q285" s="1087"/>
      <c r="R285" s="1563"/>
      <c r="S285" s="1087"/>
      <c r="T285" s="1087"/>
      <c r="U285" s="481"/>
      <c r="V285" s="1087"/>
      <c r="W285" s="1087"/>
      <c r="X285" s="1087"/>
      <c r="Y285" s="1087"/>
      <c r="Z285" s="1087"/>
      <c r="AA285" s="1559"/>
      <c r="AB285" s="503"/>
      <c r="AC285" s="503"/>
      <c r="AD285" s="503"/>
      <c r="AE285" s="503"/>
      <c r="AF285" s="1568">
        <v>11</v>
      </c>
    </row>
    <row r="286" spans="1:32" s="1568" customFormat="1" ht="11.25" customHeight="1">
      <c r="A286" s="917"/>
      <c r="B286" s="1563"/>
      <c r="C286" s="1563"/>
      <c r="D286" s="288"/>
      <c r="K286" s="1087"/>
      <c r="L286" s="1563"/>
      <c r="M286" s="1563"/>
      <c r="N286" s="1087"/>
      <c r="O286" s="1087"/>
      <c r="P286" s="1087"/>
      <c r="Q286" s="1087"/>
      <c r="R286" s="1563"/>
      <c r="S286" s="1087"/>
      <c r="T286" s="1087"/>
      <c r="U286" s="481"/>
      <c r="V286" s="1087"/>
      <c r="W286" s="1087"/>
      <c r="X286" s="1087"/>
      <c r="Y286" s="1087"/>
      <c r="Z286" s="1087"/>
      <c r="AA286" s="1559"/>
      <c r="AB286" s="503"/>
      <c r="AC286" s="503"/>
      <c r="AD286" s="503"/>
      <c r="AE286" s="503"/>
      <c r="AF286" s="1568">
        <v>11</v>
      </c>
    </row>
    <row r="287" spans="1:32" s="1568" customFormat="1" ht="11.25" customHeight="1">
      <c r="A287" s="917"/>
      <c r="B287" s="1563"/>
      <c r="C287" s="1563"/>
      <c r="D287" s="288"/>
      <c r="K287" s="1087"/>
      <c r="L287" s="1563"/>
      <c r="M287" s="1563"/>
      <c r="N287" s="1087"/>
      <c r="O287" s="1087"/>
      <c r="P287" s="1087"/>
      <c r="Q287" s="1087"/>
      <c r="R287" s="1563"/>
      <c r="S287" s="1087"/>
      <c r="T287" s="1087"/>
      <c r="U287" s="481"/>
      <c r="V287" s="1087"/>
      <c r="W287" s="1087"/>
      <c r="X287" s="1087"/>
      <c r="Y287" s="1087"/>
      <c r="Z287" s="1087"/>
      <c r="AA287" s="1559"/>
      <c r="AB287" s="503"/>
      <c r="AC287" s="503"/>
      <c r="AD287" s="503"/>
      <c r="AE287" s="503"/>
      <c r="AF287" s="1568">
        <v>11</v>
      </c>
    </row>
    <row r="288" spans="1:32" s="1568" customFormat="1" ht="11.25" customHeight="1">
      <c r="A288" s="917"/>
      <c r="B288" s="1563"/>
      <c r="C288" s="1563"/>
      <c r="D288" s="288"/>
      <c r="K288" s="1087"/>
      <c r="L288" s="1563"/>
      <c r="M288" s="1563"/>
      <c r="N288" s="1087"/>
      <c r="O288" s="1087"/>
      <c r="P288" s="1087"/>
      <c r="Q288" s="1087"/>
      <c r="R288" s="1563"/>
      <c r="S288" s="1087"/>
      <c r="T288" s="1087"/>
      <c r="U288" s="481"/>
      <c r="V288" s="1087"/>
      <c r="W288" s="1087"/>
      <c r="X288" s="1087"/>
      <c r="Y288" s="1087"/>
      <c r="Z288" s="1087"/>
      <c r="AA288" s="1559"/>
      <c r="AB288" s="503"/>
      <c r="AC288" s="503"/>
      <c r="AD288" s="503"/>
      <c r="AE288" s="503"/>
      <c r="AF288" s="1568">
        <v>11</v>
      </c>
    </row>
    <row r="289" spans="1:32" ht="11.25" customHeight="1">
      <c r="AF289" s="1558">
        <v>11</v>
      </c>
    </row>
    <row r="290" spans="1:32" ht="11.25" customHeight="1">
      <c r="AF290" s="1558">
        <v>11</v>
      </c>
    </row>
    <row r="291" spans="1:32" ht="11.25" customHeight="1">
      <c r="AF291" s="1558">
        <v>11</v>
      </c>
    </row>
    <row r="292" spans="1:32" ht="11.25" customHeight="1">
      <c r="A292" s="920"/>
      <c r="B292" s="1558"/>
      <c r="D292" s="1558"/>
      <c r="K292" s="1558"/>
      <c r="N292" s="1558"/>
      <c r="O292" s="1558"/>
      <c r="P292" s="1558"/>
      <c r="Q292" s="1558"/>
      <c r="S292" s="1558"/>
      <c r="T292" s="1558"/>
      <c r="U292" s="1558"/>
      <c r="V292" s="1558"/>
      <c r="W292" s="1558"/>
      <c r="X292" s="1558"/>
      <c r="Y292" s="1558"/>
      <c r="Z292" s="1558"/>
      <c r="AA292" s="1558"/>
      <c r="AB292" s="1558"/>
      <c r="AC292" s="1558"/>
      <c r="AD292" s="1558"/>
      <c r="AE292" s="1558"/>
      <c r="AF292" s="1558">
        <v>11</v>
      </c>
    </row>
    <row r="293" spans="1:32" ht="11.25" customHeight="1">
      <c r="A293" s="920"/>
      <c r="B293" s="1558"/>
      <c r="D293" s="1558"/>
      <c r="K293" s="1558"/>
      <c r="N293" s="1558"/>
      <c r="O293" s="1558"/>
      <c r="P293" s="1558"/>
      <c r="Q293" s="1558"/>
      <c r="S293" s="1558"/>
      <c r="T293" s="1558"/>
      <c r="U293" s="1558"/>
      <c r="V293" s="1558"/>
      <c r="W293" s="1558"/>
      <c r="X293" s="1558"/>
      <c r="Y293" s="1558"/>
      <c r="Z293" s="1558"/>
      <c r="AA293" s="1558"/>
      <c r="AB293" s="1558"/>
      <c r="AC293" s="1558"/>
      <c r="AD293" s="1558"/>
      <c r="AE293" s="1558"/>
      <c r="AF293" s="1558">
        <v>11</v>
      </c>
    </row>
    <row r="294" spans="1:32" ht="11.25" customHeight="1">
      <c r="A294" s="920"/>
      <c r="B294" s="1558"/>
      <c r="D294" s="1558"/>
      <c r="K294" s="1558"/>
      <c r="N294" s="1558"/>
      <c r="O294" s="1558"/>
      <c r="P294" s="1558"/>
      <c r="Q294" s="1558"/>
      <c r="S294" s="1558"/>
      <c r="T294" s="1558"/>
      <c r="U294" s="1558"/>
      <c r="V294" s="1558"/>
      <c r="W294" s="1558"/>
      <c r="X294" s="1558"/>
      <c r="Y294" s="1558"/>
      <c r="Z294" s="1558"/>
      <c r="AA294" s="1558"/>
      <c r="AB294" s="1558"/>
      <c r="AC294" s="1558"/>
      <c r="AD294" s="1558"/>
      <c r="AE294" s="1558"/>
      <c r="AF294" s="1558">
        <v>11</v>
      </c>
    </row>
    <row r="295" spans="1:32" ht="11.25" customHeight="1">
      <c r="A295" s="920"/>
      <c r="B295" s="1558"/>
      <c r="D295" s="1558"/>
      <c r="K295" s="1558"/>
      <c r="N295" s="1558"/>
      <c r="O295" s="1558"/>
      <c r="P295" s="1558"/>
      <c r="Q295" s="1558"/>
      <c r="S295" s="1558"/>
      <c r="T295" s="1558"/>
      <c r="U295" s="1558"/>
      <c r="V295" s="1558"/>
      <c r="W295" s="1558"/>
      <c r="X295" s="1558"/>
      <c r="Y295" s="1558"/>
      <c r="Z295" s="1558"/>
      <c r="AA295" s="1558"/>
      <c r="AB295" s="1558"/>
      <c r="AC295" s="1558"/>
      <c r="AD295" s="1558"/>
      <c r="AE295" s="1558"/>
      <c r="AF295" s="1558">
        <v>11</v>
      </c>
    </row>
    <row r="296" spans="1:32" ht="11.25" customHeight="1">
      <c r="A296" s="920"/>
      <c r="B296" s="1558"/>
      <c r="D296" s="1558"/>
      <c r="K296" s="1558"/>
      <c r="N296" s="1558"/>
      <c r="O296" s="1558"/>
      <c r="P296" s="1558"/>
      <c r="Q296" s="1558"/>
      <c r="S296" s="1558"/>
      <c r="T296" s="1558"/>
      <c r="U296" s="1558"/>
      <c r="V296" s="1558"/>
      <c r="W296" s="1558"/>
      <c r="X296" s="1558"/>
      <c r="Y296" s="1558"/>
      <c r="Z296" s="1558"/>
      <c r="AA296" s="1558"/>
      <c r="AB296" s="1558"/>
      <c r="AC296" s="1558"/>
      <c r="AD296" s="1558"/>
      <c r="AE296" s="1558"/>
      <c r="AF296" s="1558">
        <v>11</v>
      </c>
    </row>
    <row r="297" spans="1:32" ht="11.25" customHeight="1">
      <c r="A297" s="920"/>
      <c r="B297" s="1558"/>
      <c r="D297" s="1558"/>
      <c r="K297" s="1558"/>
      <c r="N297" s="1558"/>
      <c r="O297" s="1558"/>
      <c r="P297" s="1558"/>
      <c r="Q297" s="1558"/>
      <c r="S297" s="1558"/>
      <c r="T297" s="1558"/>
      <c r="U297" s="1558"/>
      <c r="V297" s="1558"/>
      <c r="W297" s="1558"/>
      <c r="X297" s="1558"/>
      <c r="Y297" s="1558"/>
      <c r="Z297" s="1558"/>
      <c r="AA297" s="1558"/>
      <c r="AB297" s="1558"/>
      <c r="AC297" s="1558"/>
      <c r="AD297" s="1558"/>
      <c r="AE297" s="1558"/>
      <c r="AF297" s="1558">
        <v>11</v>
      </c>
    </row>
    <row r="298" spans="1:32" ht="11.25" customHeight="1">
      <c r="A298" s="920"/>
      <c r="B298" s="1558"/>
      <c r="D298" s="1558"/>
      <c r="K298" s="1558"/>
      <c r="N298" s="1558"/>
      <c r="O298" s="1558"/>
      <c r="P298" s="1558"/>
      <c r="Q298" s="1558"/>
      <c r="S298" s="1558"/>
      <c r="T298" s="1558"/>
      <c r="U298" s="1558"/>
      <c r="V298" s="1558"/>
      <c r="W298" s="1558"/>
      <c r="X298" s="1558"/>
      <c r="Y298" s="1558"/>
      <c r="Z298" s="1558"/>
      <c r="AA298" s="1558"/>
      <c r="AB298" s="1558"/>
      <c r="AC298" s="1558"/>
      <c r="AD298" s="1558"/>
      <c r="AE298" s="1558"/>
      <c r="AF298" s="1558">
        <v>11</v>
      </c>
    </row>
    <row r="299" spans="1:32" ht="11.25" customHeight="1">
      <c r="A299" s="920"/>
      <c r="B299" s="1558"/>
      <c r="D299" s="1558"/>
      <c r="K299" s="1558"/>
      <c r="N299" s="1558"/>
      <c r="O299" s="1558"/>
      <c r="P299" s="1558"/>
      <c r="Q299" s="1558"/>
      <c r="S299" s="1558"/>
      <c r="T299" s="1558"/>
      <c r="U299" s="1558"/>
      <c r="V299" s="1558"/>
      <c r="W299" s="1558"/>
      <c r="X299" s="1558"/>
      <c r="Y299" s="1558"/>
      <c r="Z299" s="1558"/>
      <c r="AA299" s="1558"/>
      <c r="AB299" s="1558"/>
      <c r="AC299" s="1558"/>
      <c r="AD299" s="1558"/>
      <c r="AE299" s="1558"/>
      <c r="AF299" s="1558">
        <v>11</v>
      </c>
    </row>
    <row r="300" spans="1:32" ht="11.25" customHeight="1">
      <c r="A300" s="920"/>
      <c r="B300" s="1558"/>
      <c r="D300" s="1558"/>
      <c r="K300" s="1558"/>
      <c r="N300" s="1558"/>
      <c r="O300" s="1558"/>
      <c r="P300" s="1558"/>
      <c r="Q300" s="1558"/>
      <c r="S300" s="1558"/>
      <c r="T300" s="1558"/>
      <c r="U300" s="1558"/>
      <c r="V300" s="1558"/>
      <c r="W300" s="1558"/>
      <c r="X300" s="1558"/>
      <c r="Y300" s="1558"/>
      <c r="Z300" s="1558"/>
      <c r="AA300" s="1558"/>
      <c r="AB300" s="1558"/>
      <c r="AC300" s="1558"/>
      <c r="AD300" s="1558"/>
      <c r="AE300" s="1558"/>
      <c r="AF300" s="1558">
        <v>11</v>
      </c>
    </row>
    <row r="301" spans="1:32" ht="11.25" customHeight="1">
      <c r="A301" s="920"/>
      <c r="B301" s="1558"/>
      <c r="D301" s="1558"/>
      <c r="K301" s="1558"/>
      <c r="N301" s="1558"/>
      <c r="O301" s="1558"/>
      <c r="P301" s="1558"/>
      <c r="Q301" s="1558"/>
      <c r="S301" s="1558"/>
      <c r="T301" s="1558"/>
      <c r="U301" s="1558"/>
      <c r="V301" s="1558"/>
      <c r="W301" s="1558"/>
      <c r="X301" s="1558"/>
      <c r="Y301" s="1558"/>
      <c r="Z301" s="1558"/>
      <c r="AA301" s="1558"/>
      <c r="AB301" s="1558"/>
      <c r="AC301" s="1558"/>
      <c r="AD301" s="1558"/>
      <c r="AE301" s="1558"/>
      <c r="AF301" s="1558">
        <v>11</v>
      </c>
    </row>
    <row r="302" spans="1:32" ht="11.25" customHeight="1">
      <c r="A302" s="920"/>
      <c r="B302" s="1558"/>
      <c r="D302" s="1558"/>
      <c r="K302" s="1558"/>
      <c r="N302" s="1558"/>
      <c r="O302" s="1558"/>
      <c r="P302" s="1558"/>
      <c r="Q302" s="1558"/>
      <c r="S302" s="1558"/>
      <c r="T302" s="1558"/>
      <c r="U302" s="1558"/>
      <c r="V302" s="1558"/>
      <c r="W302" s="1558"/>
      <c r="X302" s="1558"/>
      <c r="Y302" s="1558"/>
      <c r="Z302" s="1558"/>
      <c r="AA302" s="1558"/>
      <c r="AB302" s="1558"/>
      <c r="AC302" s="1558"/>
      <c r="AD302" s="1558"/>
      <c r="AE302" s="1558"/>
      <c r="AF302" s="1558">
        <v>11</v>
      </c>
    </row>
    <row r="303" spans="1:32" ht="11.25" hidden="1" customHeight="1">
      <c r="A303" s="917" t="s">
        <v>87</v>
      </c>
      <c r="B303" s="1087">
        <v>0</v>
      </c>
      <c r="C303" s="1563">
        <v>0</v>
      </c>
      <c r="D303" s="1562">
        <v>3</v>
      </c>
      <c r="E303" s="1558">
        <v>7</v>
      </c>
      <c r="F303" s="1558">
        <v>54</v>
      </c>
      <c r="G303" s="1558">
        <v>10</v>
      </c>
      <c r="H303" s="1558">
        <v>0</v>
      </c>
      <c r="I303" s="1558">
        <v>40</v>
      </c>
      <c r="J303" s="1558">
        <v>102</v>
      </c>
      <c r="K303" s="1087">
        <v>9</v>
      </c>
      <c r="L303" s="1563">
        <v>5</v>
      </c>
      <c r="M303" s="1563">
        <v>3</v>
      </c>
      <c r="N303" s="1087">
        <v>3</v>
      </c>
      <c r="O303" s="1087">
        <v>3</v>
      </c>
      <c r="P303" s="1087">
        <v>3</v>
      </c>
      <c r="Q303" s="1087">
        <v>3</v>
      </c>
      <c r="R303" s="1563">
        <v>10</v>
      </c>
      <c r="S303" s="1087">
        <v>34</v>
      </c>
      <c r="T303" s="1087">
        <v>9</v>
      </c>
      <c r="U303" s="481">
        <v>8</v>
      </c>
      <c r="V303" s="1087">
        <v>8</v>
      </c>
      <c r="W303" s="1087">
        <v>8</v>
      </c>
      <c r="X303" s="1087">
        <v>8</v>
      </c>
      <c r="Y303" s="1087">
        <v>8</v>
      </c>
      <c r="Z303" s="1087">
        <v>8</v>
      </c>
      <c r="AA303" s="1559">
        <v>8</v>
      </c>
      <c r="AB303" s="1559">
        <v>8</v>
      </c>
      <c r="AC303" s="1559">
        <v>8</v>
      </c>
      <c r="AD303" s="1559">
        <v>8</v>
      </c>
      <c r="AE303" s="1559">
        <v>8</v>
      </c>
      <c r="AF303" s="1558">
        <v>11</v>
      </c>
    </row>
  </sheetData>
  <sheetProtection formatColumns="0" formatRows="0" insertRows="0" deleteColumns="0" deleteRows="0" sort="0" autoFilter="0"/>
  <mergeCells count="18">
    <mergeCell ref="B2:B7"/>
    <mergeCell ref="J25:J29"/>
    <mergeCell ref="F25:G25"/>
    <mergeCell ref="F26:G26"/>
    <mergeCell ref="F27:G27"/>
    <mergeCell ref="E28:G28"/>
    <mergeCell ref="A120:A130"/>
    <mergeCell ref="E21:I21"/>
    <mergeCell ref="E22:I22"/>
    <mergeCell ref="A33:A40"/>
    <mergeCell ref="B34:B39"/>
    <mergeCell ref="A41:A43"/>
    <mergeCell ref="A67:A68"/>
    <mergeCell ref="A82:A90"/>
    <mergeCell ref="A91:A95"/>
    <mergeCell ref="A96:A98"/>
    <mergeCell ref="A99:A111"/>
    <mergeCell ref="A115:A119"/>
  </mergeCells>
  <dataValidations count="12">
    <dataValidation allowBlank="1" showInputMessage="1" showErrorMessage="1" prompt="Для выбора выполните двойной щелчок левой клавиши мыши по соответствующей ячейке." sqref="H68:I68 H66:I66"/>
    <dataValidation type="decimal" allowBlank="1" showErrorMessage="1" errorTitle="Ошибка" error="Введите значение от 0 до 100%" sqref="H90:I90 H95:I95">
      <formula1>0</formula1>
      <formula2>100</formula2>
    </dataValidation>
    <dataValidation type="decimal" allowBlank="1" showErrorMessage="1" errorTitle="Ошибка" error="Допускается ввод только действительных чисел!" sqref="H123:I123 H120:I120 H126:I126 H75:I80">
      <formula1>-9.99999999999999E+37</formula1>
      <formula2>9.99999999999999E+37</formula2>
    </dataValidation>
    <dataValidation type="decimal" allowBlank="1" showErrorMessage="1" errorTitle="Ошибка" error="Допускается ввод только действительных чисел!" sqref="H72:I7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8:I130 H81:I81">
      <formula1>900</formula1>
    </dataValidation>
    <dataValidation type="list" allowBlank="1" showInputMessage="1" showErrorMessage="1" errorTitle="Ошибка" error="Выберите значение из списка" prompt="Выберите значение из списка" sqref="G93">
      <formula1>kind_of_volume_te_unit</formula1>
    </dataValidation>
    <dataValidation type="list" allowBlank="1" showInputMessage="1" showErrorMessage="1" errorTitle="Ошибка" error="Выберите значение из списка" prompt="Выберите значение из списка" sqref="F2">
      <formula1>kind_of_fuels</formula1>
    </dataValidation>
    <dataValidation type="textLength" operator="lessThanOrEqual" allowBlank="1" showInputMessage="1" showErrorMessage="1" errorTitle="Ошибка" error="Допускается ввод не более 900 символов!" prompt="Введите источник тепловой энергии" sqref="A1:XFD1">
      <formula1>900</formula1>
    </dataValidation>
    <dataValidation type="decimal" allowBlank="1" showErrorMessage="1" errorTitle="Ошибка" error="Допускается ввод только неотрицательных чисел!" sqref="H67:I67 H69:I69 H91:I94 H127:I127 H30:I30 H32:I33 H35:I38 H40:I65 H82:I86 H17:I17 H9:I13 H15:I15 H96:I119 H74:I74 H88:I89 H4:I6">
      <formula1>0</formula1>
      <formula2>9.99999999999999E+23</formula2>
    </dataValidation>
    <dataValidation type="textLength" operator="lessThanOrEqual" allowBlank="1" showInputMessage="1" showErrorMessage="1" errorTitle="Ошибка" error="Допускается ввод не более 900 символов!" sqref="G4 H34:I34 H39:I39">
      <formula1>900</formula1>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F12 F10 H70:I70">
      <formula1>900</formula1>
    </dataValidation>
    <dataValidation type="list" allowBlank="1" showInputMessage="1" showErrorMessage="1" errorTitle="Ошибка" error="Выберите значение из списка" prompt="Выберите значение из списка" sqref="H7:I7">
      <formula1>kind_of_purchase_method</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CF29"/>
  <sheetViews>
    <sheetView showGridLines="0" topLeftCell="C4" zoomScale="90" workbookViewId="0"/>
  </sheetViews>
  <sheetFormatPr defaultColWidth="9.140625" defaultRowHeight="11.25" customHeight="1"/>
  <cols>
    <col min="1" max="1" width="14.7109375" style="873" hidden="1" customWidth="1"/>
    <col min="2" max="2" width="17" style="1559" hidden="1" customWidth="1"/>
    <col min="3" max="3" width="3" style="1562" customWidth="1"/>
    <col min="4" max="4" width="1.85546875" style="1562" hidden="1" customWidth="1"/>
    <col min="5" max="6" width="7" style="1562" customWidth="1"/>
    <col min="7" max="7" width="29" style="1562" customWidth="1"/>
    <col min="8" max="8" width="3.7109375" style="1562" customWidth="1"/>
    <col min="9" max="9" width="5" style="1562" customWidth="1"/>
    <col min="10" max="11" width="24" style="1562" customWidth="1"/>
    <col min="12" max="12" width="3" style="1562" customWidth="1"/>
    <col min="13" max="13" width="6" style="1562" customWidth="1"/>
    <col min="14" max="14" width="25" style="1562" customWidth="1"/>
    <col min="15" max="18" width="18" style="1562" customWidth="1"/>
    <col min="19" max="19" width="93" style="1562" customWidth="1"/>
    <col min="20" max="20" width="10" style="1562" customWidth="1"/>
    <col min="21" max="21" width="10" style="1569" customWidth="1"/>
    <col min="22" max="22" width="11" style="1569" customWidth="1"/>
    <col min="23" max="27" width="10" style="1559" customWidth="1"/>
    <col min="28" max="83" width="8" style="1562" customWidth="1"/>
    <col min="84" max="84" width="9.140625" style="1562" hidden="1"/>
  </cols>
  <sheetData>
    <row r="1" spans="1:84" ht="22.5" hidden="1" customHeight="1">
      <c r="CF1" s="442" t="s">
        <v>14</v>
      </c>
    </row>
    <row r="2" spans="1:84" ht="11.25" hidden="1" customHeight="1">
      <c r="CF2" s="442">
        <v>0</v>
      </c>
    </row>
    <row r="3" spans="1:84" ht="11.25" hidden="1" customHeight="1">
      <c r="CF3" s="442">
        <v>0</v>
      </c>
    </row>
    <row r="4" spans="1:84" ht="3" customHeight="1">
      <c r="C4" s="446"/>
      <c r="D4" s="446"/>
      <c r="E4" s="446"/>
      <c r="F4" s="446"/>
      <c r="G4" s="446"/>
      <c r="H4" s="446"/>
      <c r="I4" s="446"/>
      <c r="J4" s="446"/>
      <c r="K4" s="104"/>
      <c r="L4" s="104"/>
      <c r="M4" s="104"/>
      <c r="CF4" s="442">
        <v>3</v>
      </c>
    </row>
    <row r="5" spans="1:84" ht="29.25" customHeight="1">
      <c r="C5" s="446"/>
      <c r="D5" s="987"/>
      <c r="E5" s="2877" t="str">
        <f>FHD20_NAME_FORM</f>
        <v>Форма 11. Информация о расходах на капитальный и текущий ремонт основных средств</v>
      </c>
      <c r="F5" s="2877"/>
      <c r="G5" s="2877"/>
      <c r="H5" s="2877"/>
      <c r="I5" s="2877"/>
      <c r="J5" s="2877"/>
      <c r="K5" s="2877"/>
      <c r="L5" s="550"/>
      <c r="M5" s="550"/>
      <c r="CF5" s="442">
        <v>28</v>
      </c>
    </row>
    <row r="6" spans="1:84" s="1562" customFormat="1" ht="16.5" customHeight="1">
      <c r="A6" s="547"/>
      <c r="B6" s="694"/>
      <c r="C6" s="446"/>
      <c r="D6" s="988"/>
      <c r="E6" s="2849" t="str">
        <f>IF(org=0,"Не определено",org)</f>
        <v>ТМУП "ТТС"</v>
      </c>
      <c r="F6" s="2849"/>
      <c r="G6" s="2849"/>
      <c r="H6" s="2849"/>
      <c r="I6" s="2849"/>
      <c r="J6" s="2849"/>
      <c r="K6" s="2849"/>
      <c r="L6" s="550"/>
      <c r="M6" s="550"/>
      <c r="U6" s="548"/>
      <c r="V6" s="548"/>
      <c r="W6" s="549"/>
      <c r="X6" s="694"/>
      <c r="Y6" s="694"/>
      <c r="Z6" s="694"/>
      <c r="AA6" s="694"/>
      <c r="CF6" s="693">
        <v>16</v>
      </c>
    </row>
    <row r="7" spans="1:84" ht="11.25" customHeight="1">
      <c r="C7" s="446"/>
      <c r="D7" s="446"/>
      <c r="E7" s="446"/>
      <c r="F7" s="446"/>
      <c r="G7" s="459"/>
      <c r="H7" s="459"/>
      <c r="I7" s="459"/>
      <c r="J7" s="459"/>
      <c r="K7" s="551"/>
      <c r="L7" s="551"/>
      <c r="M7" s="551"/>
      <c r="R7" s="689"/>
      <c r="CF7" s="442">
        <v>11</v>
      </c>
    </row>
    <row r="8" spans="1:84" s="1568" customFormat="1" ht="4.5" customHeight="1">
      <c r="A8" s="558"/>
      <c r="B8" s="503"/>
      <c r="C8" s="288"/>
      <c r="D8" s="288"/>
      <c r="E8" s="288"/>
      <c r="F8" s="288"/>
      <c r="G8" s="905"/>
      <c r="H8" s="905"/>
      <c r="I8" s="905"/>
      <c r="J8" s="905"/>
      <c r="K8" s="948"/>
      <c r="L8" s="948"/>
      <c r="M8" s="948"/>
      <c r="R8" s="949"/>
      <c r="U8" s="548"/>
      <c r="V8" s="548"/>
      <c r="W8" s="559"/>
      <c r="X8" s="503"/>
      <c r="Y8" s="503"/>
      <c r="Z8" s="503"/>
      <c r="AA8" s="503"/>
      <c r="CF8" s="433">
        <v>4</v>
      </c>
    </row>
    <row r="9" spans="1:84" ht="20.25" customHeight="1">
      <c r="D9" s="227"/>
      <c r="E9" s="2740" t="s">
        <v>345</v>
      </c>
      <c r="F9" s="2745"/>
      <c r="G9" s="2745"/>
      <c r="H9" s="2745"/>
      <c r="I9" s="2745"/>
      <c r="J9" s="2745"/>
      <c r="K9" s="2745"/>
      <c r="L9" s="2745"/>
      <c r="M9" s="2745"/>
      <c r="N9" s="2745"/>
      <c r="O9" s="2745"/>
      <c r="P9" s="2745"/>
      <c r="Q9" s="2745"/>
      <c r="R9" s="2739"/>
      <c r="S9" s="2758" t="s">
        <v>346</v>
      </c>
      <c r="T9" s="272"/>
      <c r="CF9" s="442">
        <v>19</v>
      </c>
    </row>
    <row r="10" spans="1:84" ht="48" customHeight="1">
      <c r="D10" s="488" t="s">
        <v>93</v>
      </c>
      <c r="E10" s="2758" t="s">
        <v>93</v>
      </c>
      <c r="F10" s="2758"/>
      <c r="G10" s="458" t="s">
        <v>347</v>
      </c>
      <c r="H10" s="2758" t="s">
        <v>93</v>
      </c>
      <c r="I10" s="2758"/>
      <c r="J10" s="458" t="s">
        <v>648</v>
      </c>
      <c r="K10" s="458" t="s">
        <v>649</v>
      </c>
      <c r="L10" s="2758" t="s">
        <v>93</v>
      </c>
      <c r="M10" s="2758"/>
      <c r="N10" s="458" t="s">
        <v>650</v>
      </c>
      <c r="O10" s="458" t="s">
        <v>651</v>
      </c>
      <c r="P10" s="458" t="s">
        <v>652</v>
      </c>
      <c r="Q10" s="458" t="s">
        <v>653</v>
      </c>
      <c r="R10" s="458" t="s">
        <v>654</v>
      </c>
      <c r="S10" s="2758"/>
      <c r="T10" s="272"/>
      <c r="CF10" s="442">
        <v>46</v>
      </c>
    </row>
    <row r="11" spans="1:84" s="1569" customFormat="1" ht="15" hidden="1" customHeight="1">
      <c r="A11" s="982"/>
      <c r="D11" s="955" t="s">
        <v>114</v>
      </c>
      <c r="E11" s="955"/>
      <c r="F11" s="955" t="s">
        <v>115</v>
      </c>
      <c r="G11" s="955" t="s">
        <v>95</v>
      </c>
      <c r="H11" s="955"/>
      <c r="I11" s="955" t="s">
        <v>96</v>
      </c>
      <c r="J11" s="955" t="s">
        <v>116</v>
      </c>
      <c r="K11" s="955" t="s">
        <v>97</v>
      </c>
      <c r="L11" s="955"/>
      <c r="M11" s="955" t="s">
        <v>98</v>
      </c>
      <c r="N11" s="955" t="s">
        <v>117</v>
      </c>
      <c r="O11" s="955" t="s">
        <v>153</v>
      </c>
      <c r="P11" s="955" t="s">
        <v>154</v>
      </c>
      <c r="Q11" s="955" t="s">
        <v>155</v>
      </c>
      <c r="R11" s="955" t="s">
        <v>156</v>
      </c>
      <c r="S11" s="955" t="s">
        <v>157</v>
      </c>
      <c r="U11" s="548"/>
      <c r="V11" s="548"/>
      <c r="W11" s="548"/>
      <c r="CF11" s="448">
        <v>0</v>
      </c>
    </row>
    <row r="12" spans="1:84" s="1562" customFormat="1" ht="0.75" customHeight="1">
      <c r="A12" s="552"/>
      <c r="B12" s="299"/>
      <c r="D12" s="485"/>
      <c r="E12" s="284"/>
      <c r="F12" s="284"/>
      <c r="Q12" s="553"/>
      <c r="R12" s="554"/>
      <c r="T12" s="555"/>
      <c r="U12" s="556"/>
      <c r="V12" s="556"/>
      <c r="W12" s="557"/>
      <c r="X12" s="299"/>
      <c r="Y12" s="299"/>
      <c r="Z12" s="299"/>
      <c r="AA12" s="299"/>
      <c r="CF12" s="446">
        <v>1</v>
      </c>
    </row>
    <row r="13" spans="1:84" s="1568" customFormat="1" ht="0.75" customHeight="1">
      <c r="A13" s="558"/>
      <c r="B13" s="503"/>
      <c r="D13" s="485" t="s">
        <v>421</v>
      </c>
      <c r="E13" s="497"/>
      <c r="F13" s="497"/>
      <c r="G13" s="497"/>
      <c r="H13" s="497"/>
      <c r="I13" s="497"/>
      <c r="J13" s="497"/>
      <c r="K13" s="497"/>
      <c r="L13" s="497"/>
      <c r="M13" s="497"/>
      <c r="N13" s="497"/>
      <c r="O13" s="497"/>
      <c r="P13" s="497"/>
      <c r="Q13" s="497"/>
      <c r="R13" s="497"/>
      <c r="T13" s="272"/>
      <c r="U13" s="548"/>
      <c r="V13" s="548"/>
      <c r="W13" s="559"/>
      <c r="X13" s="503"/>
      <c r="Y13" s="503"/>
      <c r="Z13" s="503"/>
      <c r="AA13" s="503"/>
      <c r="CF13" s="433">
        <v>1</v>
      </c>
    </row>
    <row r="14" spans="1:84" s="1775" customFormat="1" ht="15" hidden="1" customHeight="1">
      <c r="A14" s="560" t="s">
        <v>122</v>
      </c>
      <c r="B14" s="561"/>
      <c r="C14" s="561"/>
      <c r="D14" s="2988" t="s">
        <v>114</v>
      </c>
      <c r="E14" s="2995" t="s">
        <v>110</v>
      </c>
      <c r="F14" s="2996"/>
      <c r="G14" s="2997"/>
      <c r="H14" s="2991">
        <f>IF(A14="","",INDEX(DIFFERENTIATION_UNMERGE_VD,MATCH(A14,DIFFERENTIATION_ID_DIFF,0)))</f>
        <v>0</v>
      </c>
      <c r="I14" s="2991"/>
      <c r="J14" s="2991"/>
      <c r="K14" s="2991"/>
      <c r="L14" s="2991"/>
      <c r="M14" s="2991"/>
      <c r="N14" s="2991"/>
      <c r="O14" s="2991"/>
      <c r="P14" s="2991"/>
      <c r="Q14" s="2991"/>
      <c r="R14" s="2991"/>
      <c r="S14" s="656"/>
      <c r="T14" s="653"/>
      <c r="U14" s="562"/>
      <c r="V14" s="562"/>
      <c r="W14" s="563"/>
      <c r="X14" s="563"/>
      <c r="Y14" s="563"/>
      <c r="Z14" s="563"/>
      <c r="AA14" s="564"/>
      <c r="AB14" s="565"/>
      <c r="AC14" s="2994"/>
      <c r="AD14" s="566"/>
      <c r="AE14" s="567" t="s">
        <v>30</v>
      </c>
      <c r="AF14" s="567"/>
      <c r="AG14" s="568" t="s">
        <v>655</v>
      </c>
      <c r="AH14" s="569">
        <v>3</v>
      </c>
      <c r="AI14" s="562"/>
      <c r="AJ14" s="562"/>
      <c r="AK14" s="562"/>
      <c r="AL14" s="562"/>
      <c r="AM14" s="562"/>
      <c r="AN14" s="562"/>
      <c r="AO14" s="562"/>
      <c r="AP14" s="562"/>
      <c r="AQ14" s="562"/>
      <c r="AR14" s="562"/>
      <c r="AS14" s="562"/>
      <c r="AT14" s="562"/>
      <c r="AU14" s="562"/>
      <c r="AV14" s="562"/>
      <c r="AW14" s="562"/>
      <c r="AX14" s="562"/>
      <c r="AY14" s="562"/>
      <c r="AZ14" s="562"/>
      <c r="BA14" s="562"/>
      <c r="BB14" s="562"/>
      <c r="BC14" s="562"/>
      <c r="BD14" s="562"/>
      <c r="BE14" s="562"/>
      <c r="BF14" s="562"/>
      <c r="BG14" s="562"/>
      <c r="BH14" s="562"/>
      <c r="BI14" s="562"/>
      <c r="BJ14" s="562"/>
      <c r="BK14" s="562"/>
      <c r="BL14" s="562"/>
      <c r="BM14" s="562"/>
      <c r="BN14" s="562"/>
      <c r="BO14" s="562"/>
      <c r="BP14" s="562"/>
      <c r="BQ14" s="562"/>
      <c r="BR14" s="562"/>
      <c r="BS14" s="562"/>
      <c r="BT14" s="562"/>
      <c r="BU14" s="562"/>
      <c r="BV14" s="563"/>
      <c r="BW14" s="563"/>
      <c r="BX14" s="563"/>
      <c r="BY14" s="563"/>
      <c r="BZ14" s="563"/>
      <c r="CA14" s="563"/>
      <c r="CB14" s="563"/>
      <c r="CC14" s="563"/>
      <c r="CD14" s="563"/>
      <c r="CE14" s="563"/>
      <c r="CF14" s="231">
        <v>0</v>
      </c>
    </row>
    <row r="15" spans="1:84" s="1775" customFormat="1" ht="15" hidden="1" customHeight="1">
      <c r="A15" s="560"/>
      <c r="B15" s="561"/>
      <c r="C15" s="561"/>
      <c r="D15" s="2989"/>
      <c r="E15" s="2995" t="s">
        <v>610</v>
      </c>
      <c r="F15" s="2996"/>
      <c r="G15" s="2997"/>
      <c r="H15" s="2991" t="str">
        <f>IF(A14="","",INDEX(DIFFERENTIATION_UNMERGE_AREA,MATCH(A14,DIFFERENTIATION_ID_DIFF,0)))</f>
        <v/>
      </c>
      <c r="I15" s="2991"/>
      <c r="J15" s="2991"/>
      <c r="K15" s="2991"/>
      <c r="L15" s="2991"/>
      <c r="M15" s="2991"/>
      <c r="N15" s="2991"/>
      <c r="O15" s="2991"/>
      <c r="P15" s="2991"/>
      <c r="Q15" s="2991"/>
      <c r="R15" s="2991"/>
      <c r="S15" s="656"/>
      <c r="T15" s="653"/>
      <c r="U15" s="562"/>
      <c r="V15" s="562"/>
      <c r="W15" s="563"/>
      <c r="X15" s="563"/>
      <c r="Y15" s="563"/>
      <c r="Z15" s="563"/>
      <c r="AA15" s="564"/>
      <c r="AB15" s="565"/>
      <c r="AC15" s="2994"/>
      <c r="AD15" s="566"/>
      <c r="AE15" s="567"/>
      <c r="AF15" s="567"/>
      <c r="AG15" s="568"/>
      <c r="AH15" s="569"/>
      <c r="AI15" s="562"/>
      <c r="AJ15" s="562"/>
      <c r="AK15" s="562"/>
      <c r="AL15" s="562"/>
      <c r="AM15" s="562"/>
      <c r="AN15" s="562"/>
      <c r="AO15" s="562"/>
      <c r="AP15" s="562"/>
      <c r="AQ15" s="562"/>
      <c r="AR15" s="562"/>
      <c r="AS15" s="562"/>
      <c r="AT15" s="562"/>
      <c r="AU15" s="562"/>
      <c r="AV15" s="562"/>
      <c r="AW15" s="562"/>
      <c r="AX15" s="562"/>
      <c r="AY15" s="562"/>
      <c r="AZ15" s="562"/>
      <c r="BA15" s="562"/>
      <c r="BB15" s="562"/>
      <c r="BC15" s="562"/>
      <c r="BD15" s="562"/>
      <c r="BE15" s="562"/>
      <c r="BF15" s="562"/>
      <c r="BG15" s="562"/>
      <c r="BH15" s="562"/>
      <c r="BI15" s="562"/>
      <c r="BJ15" s="562"/>
      <c r="BK15" s="562"/>
      <c r="BL15" s="562"/>
      <c r="BM15" s="562"/>
      <c r="BN15" s="562"/>
      <c r="BO15" s="562"/>
      <c r="BP15" s="562"/>
      <c r="BQ15" s="562"/>
      <c r="BR15" s="562"/>
      <c r="BS15" s="562"/>
      <c r="BT15" s="562"/>
      <c r="BU15" s="562"/>
      <c r="BV15" s="563"/>
      <c r="BW15" s="563"/>
      <c r="BX15" s="563"/>
      <c r="BY15" s="563"/>
      <c r="BZ15" s="563"/>
      <c r="CA15" s="563"/>
      <c r="CB15" s="563"/>
      <c r="CC15" s="563"/>
      <c r="CD15" s="563"/>
      <c r="CE15" s="563"/>
      <c r="CF15" s="231">
        <v>0</v>
      </c>
    </row>
    <row r="16" spans="1:84" s="1775" customFormat="1" ht="15" hidden="1" customHeight="1">
      <c r="A16" s="560"/>
      <c r="B16" s="561"/>
      <c r="C16" s="561"/>
      <c r="D16" s="2989"/>
      <c r="E16" s="2995" t="s">
        <v>611</v>
      </c>
      <c r="F16" s="2996"/>
      <c r="G16" s="2997"/>
      <c r="H16" s="2991" t="str">
        <f>IF(A14="","",INDEX(DIFFERENTIATION_UNMERGE_SYSTEM,MATCH(A14,DIFFERENTIATION_ID_DIFF,0)))</f>
        <v>без дифференциации</v>
      </c>
      <c r="I16" s="2991"/>
      <c r="J16" s="2991"/>
      <c r="K16" s="2991"/>
      <c r="L16" s="2991"/>
      <c r="M16" s="2991"/>
      <c r="N16" s="2991"/>
      <c r="O16" s="2991"/>
      <c r="P16" s="2991"/>
      <c r="Q16" s="2991"/>
      <c r="R16" s="2991"/>
      <c r="S16" s="656"/>
      <c r="T16" s="653"/>
      <c r="U16" s="562"/>
      <c r="V16" s="562"/>
      <c r="W16" s="563"/>
      <c r="X16" s="563"/>
      <c r="Y16" s="563"/>
      <c r="Z16" s="563"/>
      <c r="AA16" s="564"/>
      <c r="AB16" s="565"/>
      <c r="AC16" s="2994"/>
      <c r="AD16" s="566"/>
      <c r="AE16" s="567"/>
      <c r="AF16" s="567"/>
      <c r="AG16" s="568"/>
      <c r="AH16" s="569"/>
      <c r="AI16" s="562"/>
      <c r="AJ16" s="562"/>
      <c r="AK16" s="562"/>
      <c r="AL16" s="562"/>
      <c r="AM16" s="562"/>
      <c r="AN16" s="562"/>
      <c r="AO16" s="562"/>
      <c r="AP16" s="562"/>
      <c r="AQ16" s="562"/>
      <c r="AR16" s="562"/>
      <c r="AS16" s="562"/>
      <c r="AT16" s="562"/>
      <c r="AU16" s="562"/>
      <c r="AV16" s="562"/>
      <c r="AW16" s="562"/>
      <c r="AX16" s="562"/>
      <c r="AY16" s="562"/>
      <c r="AZ16" s="562"/>
      <c r="BA16" s="562"/>
      <c r="BB16" s="562"/>
      <c r="BC16" s="562"/>
      <c r="BD16" s="562"/>
      <c r="BE16" s="562"/>
      <c r="BF16" s="562"/>
      <c r="BG16" s="562"/>
      <c r="BH16" s="562"/>
      <c r="BI16" s="562"/>
      <c r="BJ16" s="562"/>
      <c r="BK16" s="562"/>
      <c r="BL16" s="562"/>
      <c r="BM16" s="562"/>
      <c r="BN16" s="562"/>
      <c r="BO16" s="562"/>
      <c r="BP16" s="562"/>
      <c r="BQ16" s="562"/>
      <c r="BR16" s="562"/>
      <c r="BS16" s="562"/>
      <c r="BT16" s="562"/>
      <c r="BU16" s="562"/>
      <c r="BV16" s="563"/>
      <c r="BW16" s="563"/>
      <c r="BX16" s="563"/>
      <c r="BY16" s="563"/>
      <c r="BZ16" s="563"/>
      <c r="CA16" s="563"/>
      <c r="CB16" s="563"/>
      <c r="CC16" s="563"/>
      <c r="CD16" s="563"/>
      <c r="CE16" s="563"/>
      <c r="CF16" s="231">
        <v>0</v>
      </c>
    </row>
    <row r="17" spans="1:84" s="1775" customFormat="1" ht="22.5" hidden="1" customHeight="1">
      <c r="A17" s="570"/>
      <c r="B17" s="354"/>
      <c r="C17" s="349"/>
      <c r="D17" s="2989"/>
      <c r="E17" s="2993" t="s">
        <v>656</v>
      </c>
      <c r="F17" s="2993"/>
      <c r="G17" s="2993"/>
      <c r="H17" s="2993"/>
      <c r="I17" s="2993"/>
      <c r="J17" s="2993"/>
      <c r="K17" s="2993"/>
      <c r="L17" s="2993"/>
      <c r="M17" s="2993"/>
      <c r="N17" s="2993"/>
      <c r="O17" s="2993"/>
      <c r="P17" s="2993"/>
      <c r="Q17" s="495">
        <f>SUMIF(T18:T19,"i",Q18:Q19)</f>
        <v>0</v>
      </c>
      <c r="R17" s="947"/>
      <c r="S17" s="827" t="s">
        <v>657</v>
      </c>
      <c r="T17" s="654" t="s">
        <v>658</v>
      </c>
      <c r="U17" s="2900">
        <v>1</v>
      </c>
      <c r="V17" s="2900" t="str">
        <f>INDEX(B_FHD_FLAG_INDEX_1,1,MATCH(A14,B_FHD_FLAG_DIFFERENTIATION,0))</f>
        <v>отсутствует</v>
      </c>
      <c r="W17" s="354"/>
      <c r="X17" s="354"/>
      <c r="Y17" s="354"/>
      <c r="Z17" s="354"/>
      <c r="AA17" s="448"/>
      <c r="AB17" s="354"/>
      <c r="AC17" s="2994"/>
      <c r="AD17" s="566"/>
      <c r="AE17" s="354"/>
      <c r="AF17" s="354"/>
      <c r="AG17" s="448"/>
      <c r="AH17" s="448"/>
      <c r="AI17" s="448"/>
      <c r="AJ17" s="448"/>
      <c r="AK17" s="448"/>
      <c r="AL17" s="448"/>
      <c r="AM17" s="448"/>
      <c r="AN17" s="448"/>
      <c r="AO17" s="448"/>
      <c r="AP17" s="448"/>
      <c r="AQ17" s="448"/>
      <c r="AR17" s="448"/>
      <c r="AS17" s="448"/>
      <c r="AT17" s="448"/>
      <c r="AU17" s="448"/>
      <c r="AV17" s="448"/>
      <c r="AW17" s="448"/>
      <c r="AX17" s="448"/>
      <c r="AY17" s="448"/>
      <c r="AZ17" s="448"/>
      <c r="BA17" s="448"/>
      <c r="BB17" s="448"/>
      <c r="BC17" s="448"/>
      <c r="BD17" s="448"/>
      <c r="BE17" s="448"/>
      <c r="BF17" s="448"/>
      <c r="BG17" s="448"/>
      <c r="BH17" s="448"/>
      <c r="BI17" s="448"/>
      <c r="BJ17" s="448"/>
      <c r="BK17" s="448"/>
      <c r="BL17" s="448"/>
      <c r="BM17" s="448"/>
      <c r="BN17" s="448"/>
      <c r="BO17" s="448"/>
      <c r="BP17" s="448"/>
      <c r="BQ17" s="448"/>
      <c r="BR17" s="448"/>
      <c r="BS17" s="448"/>
      <c r="BT17" s="448"/>
      <c r="BU17" s="448"/>
      <c r="BV17" s="354"/>
      <c r="BW17" s="354"/>
      <c r="BX17" s="354"/>
      <c r="BY17" s="354"/>
      <c r="BZ17" s="354"/>
      <c r="CA17" s="354"/>
      <c r="CB17" s="354"/>
      <c r="CC17" s="354"/>
      <c r="CD17" s="354"/>
      <c r="CE17" s="354"/>
      <c r="CF17" s="231">
        <v>0</v>
      </c>
    </row>
    <row r="18" spans="1:84" s="1775" customFormat="1" ht="11.25" hidden="1" customHeight="1">
      <c r="A18" s="571"/>
      <c r="B18" s="448"/>
      <c r="C18" s="448"/>
      <c r="D18" s="2989"/>
      <c r="E18" s="572"/>
      <c r="F18" s="572">
        <v>0</v>
      </c>
      <c r="G18" s="572"/>
      <c r="H18" s="572"/>
      <c r="I18" s="572"/>
      <c r="J18" s="572"/>
      <c r="K18" s="572"/>
      <c r="L18" s="572"/>
      <c r="M18" s="572"/>
      <c r="N18" s="572"/>
      <c r="O18" s="572"/>
      <c r="P18" s="572"/>
      <c r="Q18" s="572"/>
      <c r="R18" s="572"/>
      <c r="S18" s="573"/>
      <c r="T18" s="655"/>
      <c r="U18" s="2900"/>
      <c r="V18" s="2900"/>
      <c r="W18" s="448"/>
      <c r="X18" s="448"/>
      <c r="Y18" s="448"/>
      <c r="Z18" s="448"/>
      <c r="AA18" s="448"/>
      <c r="AB18" s="354"/>
      <c r="AC18" s="2994"/>
      <c r="AD18" s="566"/>
      <c r="AE18" s="354"/>
      <c r="AF18" s="354"/>
      <c r="AG18" s="448"/>
      <c r="AH18" s="448"/>
      <c r="AI18" s="448"/>
      <c r="AJ18" s="448"/>
      <c r="AK18" s="448"/>
      <c r="AL18" s="448"/>
      <c r="AM18" s="448"/>
      <c r="AN18" s="448"/>
      <c r="AO18" s="448"/>
      <c r="AP18" s="448"/>
      <c r="AQ18" s="448"/>
      <c r="AR18" s="448"/>
      <c r="AS18" s="448"/>
      <c r="AT18" s="448"/>
      <c r="AU18" s="448"/>
      <c r="AV18" s="448"/>
      <c r="AW18" s="448"/>
      <c r="AX18" s="448"/>
      <c r="AY18" s="448"/>
      <c r="AZ18" s="448"/>
      <c r="BA18" s="448"/>
      <c r="BB18" s="448"/>
      <c r="BC18" s="448"/>
      <c r="BD18" s="448"/>
      <c r="BE18" s="448"/>
      <c r="BF18" s="448"/>
      <c r="BG18" s="448"/>
      <c r="BH18" s="448"/>
      <c r="BI18" s="448"/>
      <c r="BJ18" s="448"/>
      <c r="BK18" s="448"/>
      <c r="BL18" s="448"/>
      <c r="BM18" s="448"/>
      <c r="BN18" s="448"/>
      <c r="BO18" s="448"/>
      <c r="BP18" s="448"/>
      <c r="BQ18" s="448"/>
      <c r="BR18" s="448"/>
      <c r="BS18" s="448"/>
      <c r="BT18" s="448"/>
      <c r="BU18" s="448"/>
      <c r="BV18" s="448"/>
      <c r="BW18" s="448"/>
      <c r="BX18" s="448"/>
      <c r="BY18" s="448"/>
      <c r="BZ18" s="448"/>
      <c r="CA18" s="448"/>
      <c r="CB18" s="448"/>
      <c r="CC18" s="448"/>
      <c r="CD18" s="448"/>
      <c r="CE18" s="448"/>
      <c r="CF18" s="231">
        <v>0</v>
      </c>
    </row>
    <row r="19" spans="1:84" s="1775" customFormat="1" ht="11.25" hidden="1" customHeight="1">
      <c r="A19" s="570"/>
      <c r="B19" s="354"/>
      <c r="C19" s="349"/>
      <c r="D19" s="2989"/>
      <c r="E19" s="586" t="s">
        <v>30</v>
      </c>
      <c r="F19" s="587" t="s">
        <v>30</v>
      </c>
      <c r="G19" s="587" t="s">
        <v>30</v>
      </c>
      <c r="H19" s="588" t="s">
        <v>30</v>
      </c>
      <c r="I19" s="588"/>
      <c r="J19" s="588"/>
      <c r="K19" s="588"/>
      <c r="L19" s="588"/>
      <c r="M19" s="588"/>
      <c r="N19" s="588"/>
      <c r="O19" s="588"/>
      <c r="P19" s="588"/>
      <c r="Q19" s="588"/>
      <c r="R19" s="589"/>
      <c r="S19" s="950"/>
      <c r="T19" s="655"/>
      <c r="U19" s="2900"/>
      <c r="V19" s="2900"/>
      <c r="W19" s="354"/>
      <c r="X19" s="354"/>
      <c r="Y19" s="354"/>
      <c r="Z19" s="354"/>
      <c r="AA19" s="448"/>
      <c r="AB19" s="354"/>
      <c r="AC19" s="2994"/>
      <c r="AD19" s="566"/>
      <c r="AE19" s="354"/>
      <c r="AF19" s="354"/>
      <c r="AG19" s="448"/>
      <c r="AH19" s="448"/>
      <c r="AI19" s="448"/>
      <c r="AJ19" s="448"/>
      <c r="AK19" s="448"/>
      <c r="AL19" s="448"/>
      <c r="AM19" s="448"/>
      <c r="AN19" s="448"/>
      <c r="AO19" s="448"/>
      <c r="AP19" s="448"/>
      <c r="AQ19" s="448"/>
      <c r="AR19" s="448"/>
      <c r="AS19" s="448"/>
      <c r="AT19" s="448"/>
      <c r="AU19" s="448"/>
      <c r="AV19" s="448"/>
      <c r="AW19" s="448"/>
      <c r="AX19" s="448"/>
      <c r="AY19" s="448"/>
      <c r="AZ19" s="448"/>
      <c r="BA19" s="448"/>
      <c r="BB19" s="448"/>
      <c r="BC19" s="448"/>
      <c r="BD19" s="448"/>
      <c r="BE19" s="448"/>
      <c r="BF19" s="448"/>
      <c r="BG19" s="448"/>
      <c r="BH19" s="448"/>
      <c r="BI19" s="448"/>
      <c r="BJ19" s="448"/>
      <c r="BK19" s="448"/>
      <c r="BL19" s="448"/>
      <c r="BM19" s="448"/>
      <c r="BN19" s="448"/>
      <c r="BO19" s="448"/>
      <c r="BP19" s="448"/>
      <c r="BQ19" s="448"/>
      <c r="BR19" s="448"/>
      <c r="BS19" s="448"/>
      <c r="BT19" s="448"/>
      <c r="BU19" s="448"/>
      <c r="BV19" s="354"/>
      <c r="BW19" s="354"/>
      <c r="BX19" s="354"/>
      <c r="BY19" s="354"/>
      <c r="BZ19" s="354"/>
      <c r="CA19" s="354"/>
      <c r="CB19" s="354"/>
      <c r="CC19" s="354"/>
      <c r="CD19" s="354"/>
      <c r="CE19" s="354"/>
      <c r="CF19" s="231">
        <v>0</v>
      </c>
    </row>
    <row r="20" spans="1:84" s="1775" customFormat="1" ht="22.5" hidden="1" customHeight="1">
      <c r="A20" s="570"/>
      <c r="B20" s="354"/>
      <c r="C20" s="349"/>
      <c r="D20" s="2989"/>
      <c r="E20" s="2993" t="s">
        <v>659</v>
      </c>
      <c r="F20" s="2993"/>
      <c r="G20" s="2993"/>
      <c r="H20" s="2993"/>
      <c r="I20" s="2993"/>
      <c r="J20" s="2993"/>
      <c r="K20" s="2993"/>
      <c r="L20" s="2993"/>
      <c r="M20" s="2993"/>
      <c r="N20" s="2993"/>
      <c r="O20" s="2993"/>
      <c r="P20" s="2993"/>
      <c r="Q20" s="495">
        <f>SUMIF(T21:T22,"i",Q21:Q22)</f>
        <v>0</v>
      </c>
      <c r="R20" s="947"/>
      <c r="S20" s="646" t="s">
        <v>660</v>
      </c>
      <c r="T20" s="654" t="s">
        <v>658</v>
      </c>
      <c r="U20" s="2900">
        <v>2</v>
      </c>
      <c r="V20" s="2900" t="str">
        <f>INDEX(B_FHD_FLAG_INDEX_2,1,MATCH(A14,B_FHD_FLAG_DIFFERENTIATION,0))</f>
        <v>отсутствует</v>
      </c>
      <c r="W20" s="354"/>
      <c r="X20" s="354"/>
      <c r="Y20" s="354"/>
      <c r="Z20" s="354"/>
      <c r="AA20" s="448"/>
      <c r="AB20" s="354"/>
      <c r="AC20" s="643"/>
      <c r="AD20" s="566"/>
      <c r="AE20" s="354"/>
      <c r="AF20" s="354"/>
      <c r="AG20" s="448"/>
      <c r="AH20" s="448"/>
      <c r="AI20" s="448"/>
      <c r="AJ20" s="448"/>
      <c r="AK20" s="448"/>
      <c r="AL20" s="448"/>
      <c r="AM20" s="448"/>
      <c r="AN20" s="448"/>
      <c r="AO20" s="448"/>
      <c r="AP20" s="448"/>
      <c r="AQ20" s="448"/>
      <c r="AR20" s="448"/>
      <c r="AS20" s="448"/>
      <c r="AT20" s="448"/>
      <c r="AU20" s="448"/>
      <c r="AV20" s="448"/>
      <c r="AW20" s="448"/>
      <c r="AX20" s="448"/>
      <c r="AY20" s="448"/>
      <c r="AZ20" s="448"/>
      <c r="BA20" s="448"/>
      <c r="BB20" s="448"/>
      <c r="BC20" s="448"/>
      <c r="BD20" s="448"/>
      <c r="BE20" s="448"/>
      <c r="BF20" s="448"/>
      <c r="BG20" s="448"/>
      <c r="BH20" s="448"/>
      <c r="BI20" s="448"/>
      <c r="BJ20" s="448"/>
      <c r="BK20" s="448"/>
      <c r="BL20" s="448"/>
      <c r="BM20" s="448"/>
      <c r="BN20" s="448"/>
      <c r="BO20" s="448"/>
      <c r="BP20" s="448"/>
      <c r="BQ20" s="448"/>
      <c r="BR20" s="448"/>
      <c r="BS20" s="448"/>
      <c r="BT20" s="448"/>
      <c r="BU20" s="448"/>
      <c r="BV20" s="354"/>
      <c r="BW20" s="354"/>
      <c r="BX20" s="354"/>
      <c r="BY20" s="354"/>
      <c r="BZ20" s="354"/>
      <c r="CA20" s="354"/>
      <c r="CB20" s="354"/>
      <c r="CC20" s="354"/>
      <c r="CD20" s="354"/>
      <c r="CE20" s="354"/>
      <c r="CF20" s="231">
        <v>0</v>
      </c>
    </row>
    <row r="21" spans="1:84" s="1775" customFormat="1" ht="11.25" hidden="1" customHeight="1">
      <c r="A21" s="645"/>
      <c r="B21" s="448"/>
      <c r="C21" s="448"/>
      <c r="D21" s="2989"/>
      <c r="E21" s="572"/>
      <c r="F21" s="572">
        <v>0</v>
      </c>
      <c r="G21" s="572"/>
      <c r="H21" s="572"/>
      <c r="I21" s="572"/>
      <c r="J21" s="572"/>
      <c r="K21" s="572"/>
      <c r="L21" s="572"/>
      <c r="M21" s="572"/>
      <c r="N21" s="572"/>
      <c r="O21" s="572"/>
      <c r="P21" s="572"/>
      <c r="Q21" s="572"/>
      <c r="R21" s="572"/>
      <c r="S21" s="573"/>
      <c r="T21" s="655"/>
      <c r="U21" s="2900"/>
      <c r="V21" s="2900"/>
      <c r="W21" s="448"/>
      <c r="X21" s="448"/>
      <c r="Y21" s="448"/>
      <c r="Z21" s="448"/>
      <c r="AA21" s="448"/>
      <c r="AB21" s="354"/>
      <c r="AC21" s="643"/>
      <c r="AD21" s="566"/>
      <c r="AE21" s="354"/>
      <c r="AF21" s="354"/>
      <c r="AG21" s="448"/>
      <c r="AH21" s="448"/>
      <c r="AI21" s="448"/>
      <c r="AJ21" s="448"/>
      <c r="AK21" s="448"/>
      <c r="AL21" s="448"/>
      <c r="AM21" s="448"/>
      <c r="AN21" s="448"/>
      <c r="AO21" s="448"/>
      <c r="AP21" s="448"/>
      <c r="AQ21" s="448"/>
      <c r="AR21" s="448"/>
      <c r="AS21" s="448"/>
      <c r="AT21" s="448"/>
      <c r="AU21" s="448"/>
      <c r="AV21" s="448"/>
      <c r="AW21" s="448"/>
      <c r="AX21" s="448"/>
      <c r="AY21" s="448"/>
      <c r="AZ21" s="448"/>
      <c r="BA21" s="448"/>
      <c r="BB21" s="448"/>
      <c r="BC21" s="448"/>
      <c r="BD21" s="448"/>
      <c r="BE21" s="448"/>
      <c r="BF21" s="448"/>
      <c r="BG21" s="448"/>
      <c r="BH21" s="448"/>
      <c r="BI21" s="448"/>
      <c r="BJ21" s="448"/>
      <c r="BK21" s="448"/>
      <c r="BL21" s="448"/>
      <c r="BM21" s="448"/>
      <c r="BN21" s="448"/>
      <c r="BO21" s="448"/>
      <c r="BP21" s="448"/>
      <c r="BQ21" s="448"/>
      <c r="BR21" s="448"/>
      <c r="BS21" s="448"/>
      <c r="BT21" s="448"/>
      <c r="BU21" s="448"/>
      <c r="BV21" s="448"/>
      <c r="BW21" s="448"/>
      <c r="BX21" s="448"/>
      <c r="BY21" s="448"/>
      <c r="BZ21" s="448"/>
      <c r="CA21" s="448"/>
      <c r="CB21" s="448"/>
      <c r="CC21" s="448"/>
      <c r="CD21" s="448"/>
      <c r="CE21" s="448"/>
      <c r="CF21" s="231">
        <v>0</v>
      </c>
    </row>
    <row r="22" spans="1:84" s="1775" customFormat="1" ht="11.25" hidden="1" customHeight="1">
      <c r="A22" s="570"/>
      <c r="B22" s="354"/>
      <c r="C22" s="349"/>
      <c r="D22" s="2990"/>
      <c r="E22" s="586" t="s">
        <v>30</v>
      </c>
      <c r="F22" s="587" t="s">
        <v>30</v>
      </c>
      <c r="G22" s="587" t="s">
        <v>30</v>
      </c>
      <c r="H22" s="588" t="s">
        <v>30</v>
      </c>
      <c r="I22" s="588"/>
      <c r="J22" s="588"/>
      <c r="K22" s="588"/>
      <c r="L22" s="588"/>
      <c r="M22" s="588"/>
      <c r="N22" s="588"/>
      <c r="O22" s="588"/>
      <c r="P22" s="588"/>
      <c r="Q22" s="588"/>
      <c r="R22" s="589"/>
      <c r="S22" s="950"/>
      <c r="T22" s="655"/>
      <c r="U22" s="2900"/>
      <c r="V22" s="2900"/>
      <c r="W22" s="354"/>
      <c r="X22" s="354"/>
      <c r="Y22" s="354"/>
      <c r="Z22" s="354"/>
      <c r="AA22" s="448"/>
      <c r="AB22" s="354"/>
      <c r="AC22" s="643"/>
      <c r="AD22" s="566"/>
      <c r="AE22" s="354"/>
      <c r="AF22" s="354"/>
      <c r="AG22" s="448"/>
      <c r="AH22" s="448"/>
      <c r="AI22" s="448"/>
      <c r="AJ22" s="448"/>
      <c r="AK22" s="448"/>
      <c r="AL22" s="448"/>
      <c r="AM22" s="448"/>
      <c r="AN22" s="448"/>
      <c r="AO22" s="448"/>
      <c r="AP22" s="448"/>
      <c r="AQ22" s="448"/>
      <c r="AR22" s="448"/>
      <c r="AS22" s="448"/>
      <c r="AT22" s="448"/>
      <c r="AU22" s="448"/>
      <c r="AV22" s="448"/>
      <c r="AW22" s="448"/>
      <c r="AX22" s="448"/>
      <c r="AY22" s="448"/>
      <c r="AZ22" s="448"/>
      <c r="BA22" s="448"/>
      <c r="BB22" s="448"/>
      <c r="BC22" s="448"/>
      <c r="BD22" s="448"/>
      <c r="BE22" s="448"/>
      <c r="BF22" s="448"/>
      <c r="BG22" s="448"/>
      <c r="BH22" s="448"/>
      <c r="BI22" s="448"/>
      <c r="BJ22" s="448"/>
      <c r="BK22" s="448"/>
      <c r="BL22" s="448"/>
      <c r="BM22" s="448"/>
      <c r="BN22" s="448"/>
      <c r="BO22" s="448"/>
      <c r="BP22" s="448"/>
      <c r="BQ22" s="448"/>
      <c r="BR22" s="448"/>
      <c r="BS22" s="448"/>
      <c r="BT22" s="448"/>
      <c r="BU22" s="448"/>
      <c r="BV22" s="354"/>
      <c r="BW22" s="354"/>
      <c r="BX22" s="354"/>
      <c r="BY22" s="354"/>
      <c r="BZ22" s="354"/>
      <c r="CA22" s="354"/>
      <c r="CB22" s="354"/>
      <c r="CC22" s="354"/>
      <c r="CD22" s="354"/>
      <c r="CE22" s="354"/>
      <c r="CF22" s="231">
        <v>0</v>
      </c>
    </row>
    <row r="23" spans="1:84" ht="20.25" customHeight="1">
      <c r="D23" s="977"/>
      <c r="E23" s="977"/>
      <c r="F23" s="977"/>
      <c r="G23" s="977"/>
      <c r="H23" s="977"/>
      <c r="I23" s="977"/>
      <c r="J23" s="977"/>
      <c r="K23" s="977"/>
      <c r="L23" s="977"/>
      <c r="M23" s="977"/>
      <c r="N23" s="977"/>
      <c r="O23" s="977"/>
      <c r="P23" s="977"/>
      <c r="Q23" s="977"/>
      <c r="R23" s="977"/>
      <c r="S23" s="977"/>
      <c r="T23" s="272"/>
      <c r="CF23" s="442">
        <v>19</v>
      </c>
    </row>
    <row r="24" spans="1:84" ht="11.25" customHeight="1">
      <c r="D24" s="446"/>
      <c r="CF24" s="442">
        <v>11</v>
      </c>
    </row>
    <row r="25" spans="1:84" ht="11.25" customHeight="1">
      <c r="D25" s="591"/>
      <c r="E25" s="591"/>
      <c r="F25" s="591"/>
      <c r="G25" s="592"/>
      <c r="CF25" s="442">
        <v>11</v>
      </c>
    </row>
    <row r="26" spans="1:84" ht="11.25" customHeight="1">
      <c r="CF26" s="442">
        <v>11</v>
      </c>
    </row>
    <row r="27" spans="1:84" ht="11.25" customHeight="1">
      <c r="D27" s="593"/>
      <c r="E27" s="2992"/>
      <c r="F27" s="2992"/>
      <c r="G27" s="2992"/>
      <c r="H27" s="2992"/>
      <c r="I27" s="2992"/>
      <c r="J27" s="2992"/>
      <c r="K27" s="2992"/>
      <c r="L27" s="2992"/>
      <c r="M27" s="2992"/>
      <c r="N27" s="2992"/>
      <c r="O27" s="2992"/>
      <c r="P27" s="2992"/>
      <c r="Q27" s="2992"/>
      <c r="R27" s="2992"/>
      <c r="CF27" s="442">
        <v>11</v>
      </c>
    </row>
    <row r="28" spans="1:84" ht="11.25" customHeight="1">
      <c r="F28" s="693"/>
      <c r="G28" s="693"/>
      <c r="CF28" s="442">
        <v>11</v>
      </c>
    </row>
    <row r="29" spans="1:84" ht="11.25" hidden="1" customHeight="1">
      <c r="A29" s="547" t="s">
        <v>87</v>
      </c>
      <c r="B29" s="386">
        <v>0</v>
      </c>
      <c r="C29" s="442">
        <v>3</v>
      </c>
      <c r="D29" s="442">
        <v>0</v>
      </c>
      <c r="E29" s="442">
        <v>7</v>
      </c>
      <c r="F29" s="442">
        <v>7</v>
      </c>
      <c r="G29" s="442">
        <v>29</v>
      </c>
      <c r="H29" s="442">
        <v>3</v>
      </c>
      <c r="I29" s="442">
        <v>5</v>
      </c>
      <c r="J29" s="442">
        <v>24</v>
      </c>
      <c r="K29" s="442">
        <v>24</v>
      </c>
      <c r="L29" s="442">
        <v>3</v>
      </c>
      <c r="M29" s="442">
        <v>6</v>
      </c>
      <c r="N29" s="442">
        <v>25</v>
      </c>
      <c r="O29" s="442">
        <v>18</v>
      </c>
      <c r="P29" s="442">
        <v>18</v>
      </c>
      <c r="Q29" s="442">
        <v>18</v>
      </c>
      <c r="R29" s="442">
        <v>18</v>
      </c>
      <c r="S29" s="442">
        <v>93</v>
      </c>
      <c r="T29" s="442">
        <v>10</v>
      </c>
      <c r="U29" s="548">
        <v>10</v>
      </c>
      <c r="V29" s="548">
        <v>11</v>
      </c>
      <c r="W29" s="549">
        <v>10</v>
      </c>
      <c r="X29" s="386">
        <v>10</v>
      </c>
      <c r="Y29" s="386">
        <v>10</v>
      </c>
      <c r="Z29" s="386">
        <v>10</v>
      </c>
      <c r="AA29" s="386">
        <v>10</v>
      </c>
      <c r="AB29" s="442">
        <v>8</v>
      </c>
      <c r="AC29" s="442">
        <v>8</v>
      </c>
      <c r="AD29" s="442">
        <v>8</v>
      </c>
      <c r="AE29" s="442">
        <v>8</v>
      </c>
      <c r="AF29" s="442">
        <v>8</v>
      </c>
      <c r="AG29" s="442">
        <v>8</v>
      </c>
      <c r="AH29" s="442">
        <v>8</v>
      </c>
      <c r="AI29" s="442">
        <v>8</v>
      </c>
      <c r="AJ29" s="442">
        <v>8</v>
      </c>
      <c r="AK29" s="442">
        <v>8</v>
      </c>
      <c r="AL29" s="442">
        <v>8</v>
      </c>
      <c r="AM29" s="442">
        <v>8</v>
      </c>
      <c r="AN29" s="442">
        <v>8</v>
      </c>
      <c r="AO29" s="442">
        <v>8</v>
      </c>
      <c r="AP29" s="442">
        <v>8</v>
      </c>
      <c r="AQ29" s="442">
        <v>8</v>
      </c>
      <c r="AR29" s="442">
        <v>8</v>
      </c>
      <c r="AS29" s="442">
        <v>8</v>
      </c>
      <c r="AT29" s="442">
        <v>8</v>
      </c>
      <c r="AU29" s="442">
        <v>8</v>
      </c>
      <c r="AV29" s="442">
        <v>8</v>
      </c>
      <c r="AW29" s="442">
        <v>8</v>
      </c>
      <c r="AX29" s="442">
        <v>8</v>
      </c>
      <c r="AY29" s="442">
        <v>8</v>
      </c>
      <c r="AZ29" s="442">
        <v>8</v>
      </c>
      <c r="BA29" s="442">
        <v>8</v>
      </c>
      <c r="BB29" s="442">
        <v>8</v>
      </c>
      <c r="BC29" s="442">
        <v>8</v>
      </c>
      <c r="BD29" s="442">
        <v>8</v>
      </c>
      <c r="BE29" s="442">
        <v>8</v>
      </c>
      <c r="BF29" s="442">
        <v>8</v>
      </c>
      <c r="BG29" s="442">
        <v>8</v>
      </c>
      <c r="BH29" s="442">
        <v>8</v>
      </c>
      <c r="BI29" s="442">
        <v>8</v>
      </c>
      <c r="BJ29" s="442">
        <v>8</v>
      </c>
      <c r="BK29" s="442">
        <v>8</v>
      </c>
      <c r="BL29" s="442">
        <v>8</v>
      </c>
      <c r="BM29" s="442">
        <v>8</v>
      </c>
      <c r="BN29" s="442">
        <v>8</v>
      </c>
      <c r="BO29" s="442">
        <v>8</v>
      </c>
      <c r="BP29" s="442">
        <v>8</v>
      </c>
      <c r="BQ29" s="442">
        <v>8</v>
      </c>
      <c r="BR29" s="442">
        <v>8</v>
      </c>
      <c r="BS29" s="442">
        <v>8</v>
      </c>
      <c r="BT29" s="442">
        <v>8</v>
      </c>
      <c r="BU29" s="442">
        <v>8</v>
      </c>
      <c r="BV29" s="442">
        <v>8</v>
      </c>
      <c r="BW29" s="442">
        <v>8</v>
      </c>
      <c r="BX29" s="442">
        <v>8</v>
      </c>
      <c r="BY29" s="442">
        <v>8</v>
      </c>
      <c r="BZ29" s="442">
        <v>8</v>
      </c>
      <c r="CA29" s="442">
        <v>8</v>
      </c>
      <c r="CB29" s="442">
        <v>8</v>
      </c>
      <c r="CC29" s="442">
        <v>8</v>
      </c>
      <c r="CD29" s="442">
        <v>8</v>
      </c>
      <c r="CE29" s="442">
        <v>8</v>
      </c>
      <c r="CF29" s="442">
        <v>11</v>
      </c>
    </row>
  </sheetData>
  <sheetProtection formatColumns="0" formatRows="0" insertRows="0" deleteColumns="0" deleteRows="0" sort="0" autoFilter="0"/>
  <mergeCells count="22">
    <mergeCell ref="U20:U22"/>
    <mergeCell ref="V20:V22"/>
    <mergeCell ref="AC14:AC19"/>
    <mergeCell ref="E17:P17"/>
    <mergeCell ref="U17:U19"/>
    <mergeCell ref="V17:V19"/>
    <mergeCell ref="E14:G14"/>
    <mergeCell ref="E15:G15"/>
    <mergeCell ref="E16:G16"/>
    <mergeCell ref="D14:D22"/>
    <mergeCell ref="H14:R14"/>
    <mergeCell ref="H15:R15"/>
    <mergeCell ref="H16:R16"/>
    <mergeCell ref="E27:R27"/>
    <mergeCell ref="E20:P20"/>
    <mergeCell ref="E5:K5"/>
    <mergeCell ref="E6:K6"/>
    <mergeCell ref="E9:R9"/>
    <mergeCell ref="S9:S10"/>
    <mergeCell ref="E10:F10"/>
    <mergeCell ref="H10:I10"/>
    <mergeCell ref="L10:M10"/>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K204"/>
  <sheetViews>
    <sheetView showGridLines="0" zoomScale="90" workbookViewId="0">
      <pane xSplit="12" ySplit="14" topLeftCell="M15" activePane="bottomRight" state="frozen"/>
      <selection pane="topRight" activeCell="M1" sqref="M1"/>
      <selection pane="bottomLeft" activeCell="A15" sqref="A15"/>
      <selection pane="bottomRight"/>
    </sheetView>
  </sheetViews>
  <sheetFormatPr defaultColWidth="9.140625" defaultRowHeight="11.25" customHeight="1"/>
  <cols>
    <col min="1" max="5" width="10.7109375" style="917" hidden="1" customWidth="1"/>
    <col min="6" max="6" width="16.85546875" style="1293" hidden="1" customWidth="1"/>
    <col min="7" max="7" width="5.5703125" style="1569" hidden="1" customWidth="1"/>
    <col min="8" max="8" width="3" style="1562" customWidth="1"/>
    <col min="9" max="9" width="7" style="1562" customWidth="1"/>
    <col min="10" max="10" width="56" style="1562" customWidth="1"/>
    <col min="11" max="11" width="10" style="1562" customWidth="1"/>
    <col min="12" max="12" width="40.5703125" style="1562" hidden="1" customWidth="1"/>
    <col min="13" max="13" width="40.7109375" style="1562" customWidth="1"/>
    <col min="14" max="14" width="9.7109375" style="1293" hidden="1" customWidth="1"/>
    <col min="15" max="15" width="102" style="1562" customWidth="1"/>
    <col min="16" max="16" width="9" style="1293" customWidth="1"/>
    <col min="17" max="17" width="5" style="1569" customWidth="1"/>
    <col min="18" max="18" width="3" style="1569" customWidth="1"/>
    <col min="19" max="22" width="3" style="1293" customWidth="1"/>
    <col min="23" max="23" width="10" style="1569" customWidth="1"/>
    <col min="24" max="24" width="34" style="1293" customWidth="1"/>
    <col min="25" max="25" width="9" style="1293" customWidth="1"/>
    <col min="26" max="26" width="8" style="673" customWidth="1"/>
    <col min="27" max="31" width="8" style="1293" customWidth="1"/>
    <col min="32" max="36" width="8" style="1559" customWidth="1"/>
    <col min="37" max="37" width="5.42578125" style="1562" hidden="1" customWidth="1"/>
  </cols>
  <sheetData>
    <row r="1" spans="1:37" s="1293" customFormat="1" ht="33.75" hidden="1" customHeight="1">
      <c r="A1" s="917"/>
      <c r="B1" s="917"/>
      <c r="C1" s="917"/>
      <c r="D1" s="917"/>
      <c r="E1" s="917"/>
      <c r="G1" s="1563"/>
      <c r="H1" s="809"/>
      <c r="L1" s="1293">
        <v>4</v>
      </c>
      <c r="M1" s="1293">
        <v>4</v>
      </c>
      <c r="Q1" s="1563"/>
      <c r="R1" s="1563"/>
      <c r="W1" s="1563"/>
      <c r="AK1" s="1293" t="s">
        <v>14</v>
      </c>
    </row>
    <row r="2" spans="1:37" s="1293" customFormat="1" ht="78.75" hidden="1" customHeight="1">
      <c r="A2" s="917"/>
      <c r="B2" s="1975" t="s">
        <v>661</v>
      </c>
      <c r="C2" s="1975" t="s">
        <v>662</v>
      </c>
      <c r="D2" s="1974" t="s">
        <v>663</v>
      </c>
      <c r="E2" s="1978" t="e">
        <f>RIGHT(I2,LEN(I2)-SEARCH("#",SUBSTITUTE(I2,".","#",LEN(I2)-LEN(SUBSTITUTE(I2,".","")))))</f>
        <v>#VALUE!</v>
      </c>
      <c r="F2" s="1980">
        <f>J2</f>
        <v>0</v>
      </c>
      <c r="G2" s="1563"/>
      <c r="H2" s="1981"/>
      <c r="I2" s="1971"/>
      <c r="J2" s="477"/>
      <c r="K2" s="1941" t="s">
        <v>602</v>
      </c>
      <c r="L2" s="688"/>
      <c r="M2" s="688"/>
      <c r="N2" s="480"/>
      <c r="O2" s="1452" t="s">
        <v>603</v>
      </c>
      <c r="P2" s="480"/>
      <c r="Q2" s="1563"/>
      <c r="R2" s="1563"/>
      <c r="W2" s="1563"/>
      <c r="Z2" s="481"/>
      <c r="AF2" s="1559"/>
      <c r="AG2" s="1559"/>
      <c r="AH2" s="1559"/>
      <c r="AI2" s="1559"/>
      <c r="AJ2" s="1559"/>
      <c r="AK2" s="1293">
        <v>0</v>
      </c>
    </row>
    <row r="3" spans="1:37" ht="11.25" hidden="1" customHeight="1">
      <c r="E3" s="1973" t="s">
        <v>664</v>
      </c>
      <c r="L3" s="1558">
        <f>0</f>
        <v>0</v>
      </c>
      <c r="M3" s="1558">
        <v>1</v>
      </c>
      <c r="AK3" s="1558">
        <v>0</v>
      </c>
    </row>
    <row r="4" spans="1:37" s="1559" customFormat="1" ht="11.25" hidden="1" customHeight="1">
      <c r="A4" s="917"/>
      <c r="B4" s="917"/>
      <c r="C4" s="917"/>
      <c r="E4" s="917"/>
      <c r="F4" s="1293"/>
      <c r="G4" s="1563"/>
      <c r="H4" s="557"/>
      <c r="N4" s="1293"/>
      <c r="O4" s="1559">
        <v>4</v>
      </c>
      <c r="P4" s="1293"/>
      <c r="Q4" s="1563"/>
      <c r="R4" s="1563"/>
      <c r="S4" s="1293"/>
      <c r="T4" s="1293"/>
      <c r="U4" s="1293"/>
      <c r="V4" s="1293"/>
      <c r="W4" s="1563"/>
      <c r="X4" s="1293"/>
      <c r="Y4" s="1293"/>
      <c r="Z4" s="481"/>
      <c r="AA4" s="1293"/>
      <c r="AB4" s="1293"/>
      <c r="AC4" s="1293"/>
      <c r="AD4" s="1293"/>
      <c r="AE4" s="1293"/>
      <c r="AK4" s="1559">
        <v>0</v>
      </c>
    </row>
    <row r="5" spans="1:37" ht="11.25" customHeight="1">
      <c r="AK5" s="1558">
        <v>11</v>
      </c>
    </row>
    <row r="6" spans="1:37" ht="57.75" customHeight="1">
      <c r="I6" s="2828" t="s">
        <v>665</v>
      </c>
      <c r="J6" s="2828"/>
      <c r="K6" s="2828"/>
      <c r="L6" s="2828"/>
      <c r="M6" s="2828"/>
      <c r="O6" s="493"/>
      <c r="AK6" s="1558">
        <v>55</v>
      </c>
    </row>
    <row r="7" spans="1:37" ht="25.5" customHeight="1">
      <c r="I7" s="2849" t="str">
        <f>IF(org=0,"Не определено",org)</f>
        <v>ТМУП "ТТС"</v>
      </c>
      <c r="J7" s="2849"/>
      <c r="K7" s="2849"/>
      <c r="L7" s="2849"/>
      <c r="M7" s="2849"/>
      <c r="AK7" s="1558">
        <v>24</v>
      </c>
    </row>
    <row r="8" spans="1:37" ht="11.25" customHeight="1">
      <c r="I8" s="1062"/>
      <c r="J8" s="1062"/>
      <c r="K8" s="1062"/>
      <c r="L8" s="1062"/>
      <c r="M8" s="1062"/>
      <c r="AK8" s="1558">
        <v>11</v>
      </c>
    </row>
    <row r="9" spans="1:37" s="1569" customFormat="1" ht="30" hidden="1" customHeight="1">
      <c r="A9" s="1094"/>
      <c r="B9" s="1094"/>
      <c r="C9" s="1094"/>
      <c r="E9" s="1094"/>
      <c r="L9" s="819"/>
      <c r="M9" s="819" t="s">
        <v>122</v>
      </c>
      <c r="AK9" s="1563">
        <v>1</v>
      </c>
    </row>
    <row r="10" spans="1:37" ht="11.25" customHeight="1">
      <c r="E10" s="1972" t="s">
        <v>666</v>
      </c>
      <c r="I10" s="648"/>
      <c r="J10" s="2984" t="s">
        <v>110</v>
      </c>
      <c r="K10" s="2985"/>
      <c r="L10" s="1951" t="str">
        <f>IF(L9="","",INDEX(DIFFERENTIATION_UNMERGE_VD,MATCH(L9,DIFFERENTIATION_ID_DIFF,0)))</f>
        <v/>
      </c>
      <c r="M10" s="1951">
        <f>IF(M9="","",INDEX(DIFFERENTIATION_UNMERGE_VD,MATCH(M9,DIFFERENTIATION_ID_DIFF,0)))</f>
        <v>0</v>
      </c>
      <c r="O10" s="2758" t="s">
        <v>346</v>
      </c>
      <c r="AK10" s="1558">
        <v>11</v>
      </c>
    </row>
    <row r="11" spans="1:37" ht="11.25" customHeight="1">
      <c r="E11" s="1972" t="s">
        <v>667</v>
      </c>
      <c r="I11" s="648"/>
      <c r="J11" s="2984" t="s">
        <v>610</v>
      </c>
      <c r="K11" s="2985"/>
      <c r="L11" s="1951" t="str">
        <f>IF(L9="","",INDEX(DIFFERENTIATION_UNMERGE_AREA,MATCH(L9,DIFFERENTIATION_ID_DIFF,0)))</f>
        <v/>
      </c>
      <c r="M11" s="1951" t="str">
        <f>IF(M9="","",INDEX(DIFFERENTIATION_UNMERGE_AREA,MATCH(M9,DIFFERENTIATION_ID_DIFF,0)))</f>
        <v/>
      </c>
      <c r="O11" s="2758"/>
      <c r="AK11" s="1558">
        <v>11</v>
      </c>
    </row>
    <row r="12" spans="1:37" ht="11.25" customHeight="1">
      <c r="E12" s="1972" t="s">
        <v>668</v>
      </c>
      <c r="I12" s="1589"/>
      <c r="J12" s="2984" t="s">
        <v>611</v>
      </c>
      <c r="K12" s="2985"/>
      <c r="L12" s="1951" t="str">
        <f>IF(L9="","",INDEX(DIFFERENTIATION_UNMERGE_SYSTEM,MATCH(L9,DIFFERENTIATION_ID_DIFF,0)))</f>
        <v/>
      </c>
      <c r="M12" s="1951" t="str">
        <f>IF(M9="","",INDEX(DIFFERENTIATION_UNMERGE_SYSTEM,MATCH(M9,DIFFERENTIATION_ID_DIFF,0)))</f>
        <v>без дифференциации</v>
      </c>
      <c r="O12" s="2758"/>
      <c r="AK12" s="1558">
        <v>11</v>
      </c>
    </row>
    <row r="13" spans="1:37" ht="11.25" customHeight="1">
      <c r="E13" s="1972" t="s">
        <v>669</v>
      </c>
      <c r="F13" s="1972" t="s">
        <v>670</v>
      </c>
      <c r="I13" s="2986" t="s">
        <v>345</v>
      </c>
      <c r="J13" s="2987"/>
      <c r="K13" s="2987"/>
      <c r="L13" s="1949"/>
      <c r="M13" s="1989"/>
      <c r="O13" s="2758"/>
      <c r="AK13" s="1558">
        <v>11</v>
      </c>
    </row>
    <row r="14" spans="1:37" ht="24" customHeight="1">
      <c r="I14" s="1942" t="s">
        <v>93</v>
      </c>
      <c r="J14" s="1942" t="s">
        <v>347</v>
      </c>
      <c r="K14" s="1942" t="s">
        <v>612</v>
      </c>
      <c r="L14" s="1982" t="s">
        <v>348</v>
      </c>
      <c r="M14" s="1983" t="s">
        <v>348</v>
      </c>
      <c r="O14" s="2758"/>
      <c r="AK14" s="1558">
        <v>23</v>
      </c>
    </row>
    <row r="15" spans="1:37" ht="24" customHeight="1">
      <c r="A15" s="1976"/>
      <c r="B15" s="1975" t="s">
        <v>671</v>
      </c>
      <c r="C15" s="1975" t="s">
        <v>672</v>
      </c>
      <c r="D15" s="1974" t="s">
        <v>673</v>
      </c>
      <c r="E15" s="1978" t="s">
        <v>674</v>
      </c>
      <c r="F15" s="1978" t="s">
        <v>674</v>
      </c>
      <c r="G15" s="1563" t="s">
        <v>634</v>
      </c>
      <c r="H15" s="1943"/>
      <c r="I15" s="1557">
        <v>1</v>
      </c>
      <c r="J15" s="1944" t="s">
        <v>675</v>
      </c>
      <c r="K15" s="1942" t="s">
        <v>351</v>
      </c>
      <c r="L15" s="599"/>
      <c r="M15" s="749"/>
      <c r="N15" s="480" t="s">
        <v>676</v>
      </c>
      <c r="O15" s="1452" t="s">
        <v>677</v>
      </c>
      <c r="P15" s="480" t="s">
        <v>676</v>
      </c>
      <c r="AK15" s="1558">
        <v>23</v>
      </c>
    </row>
    <row r="16" spans="1:37" ht="36" customHeight="1">
      <c r="A16" s="1976"/>
      <c r="B16" s="1975" t="s">
        <v>678</v>
      </c>
      <c r="C16" s="1975" t="s">
        <v>679</v>
      </c>
      <c r="D16" s="1974" t="s">
        <v>663</v>
      </c>
      <c r="E16" s="1978" t="s">
        <v>674</v>
      </c>
      <c r="F16" s="1978" t="s">
        <v>674</v>
      </c>
      <c r="H16" s="1943"/>
      <c r="I16" s="1556">
        <v>2</v>
      </c>
      <c r="J16" s="1985" t="s">
        <v>680</v>
      </c>
      <c r="K16" s="1984" t="s">
        <v>602</v>
      </c>
      <c r="L16" s="1990"/>
      <c r="M16" s="1603"/>
      <c r="N16" s="480" t="s">
        <v>676</v>
      </c>
      <c r="O16" s="1452" t="s">
        <v>681</v>
      </c>
      <c r="P16" s="480" t="s">
        <v>676</v>
      </c>
      <c r="AK16" s="1558">
        <v>34</v>
      </c>
    </row>
    <row r="17" spans="1:37" s="1569" customFormat="1" ht="17.25" hidden="1" customHeight="1">
      <c r="A17" s="1094"/>
      <c r="B17" s="1094"/>
      <c r="C17" s="1094"/>
      <c r="D17" s="1094"/>
      <c r="E17" s="1094"/>
      <c r="H17" s="1251"/>
      <c r="I17" s="943" t="s">
        <v>682</v>
      </c>
      <c r="J17" s="921"/>
      <c r="K17" s="943"/>
      <c r="L17" s="922"/>
      <c r="M17" s="922"/>
      <c r="O17" s="1312"/>
      <c r="AK17" s="1563">
        <v>1</v>
      </c>
    </row>
    <row r="18" spans="1:37" s="1293" customFormat="1" ht="24" customHeight="1">
      <c r="A18" s="917"/>
      <c r="B18" s="917"/>
      <c r="C18" s="917"/>
      <c r="D18" s="917"/>
      <c r="E18" s="917"/>
      <c r="G18" s="1563"/>
      <c r="H18" s="1560"/>
      <c r="I18" s="507"/>
      <c r="J18" s="508" t="s">
        <v>632</v>
      </c>
      <c r="K18" s="509"/>
      <c r="L18" s="1992"/>
      <c r="M18" s="510"/>
      <c r="N18" s="480"/>
      <c r="O18" s="1452" t="s">
        <v>633</v>
      </c>
      <c r="P18" s="480"/>
      <c r="Q18" s="1563"/>
      <c r="R18" s="1563"/>
      <c r="W18" s="1563"/>
      <c r="Z18" s="481"/>
      <c r="AF18" s="1559"/>
      <c r="AG18" s="1559"/>
      <c r="AH18" s="1559"/>
      <c r="AI18" s="1559"/>
      <c r="AJ18" s="1559"/>
      <c r="AK18" s="1293">
        <v>23</v>
      </c>
    </row>
    <row r="19" spans="1:37" ht="20.25" customHeight="1">
      <c r="A19" s="1976"/>
      <c r="B19" s="1975" t="s">
        <v>683</v>
      </c>
      <c r="C19" s="1975" t="s">
        <v>684</v>
      </c>
      <c r="D19" s="1974" t="s">
        <v>663</v>
      </c>
      <c r="E19" s="1978" t="s">
        <v>674</v>
      </c>
      <c r="F19" s="1978" t="s">
        <v>674</v>
      </c>
      <c r="H19" s="1943"/>
      <c r="I19" s="1591">
        <v>3</v>
      </c>
      <c r="J19" s="1944" t="s">
        <v>684</v>
      </c>
      <c r="K19" s="1940" t="s">
        <v>602</v>
      </c>
      <c r="L19" s="664"/>
      <c r="M19" s="494"/>
      <c r="N19" s="480"/>
      <c r="O19" s="1452" t="s">
        <v>685</v>
      </c>
      <c r="P19" s="480"/>
      <c r="AK19" s="1558">
        <v>19</v>
      </c>
    </row>
    <row r="20" spans="1:37" ht="78" customHeight="1">
      <c r="A20" s="1976"/>
      <c r="B20" s="1975" t="s">
        <v>686</v>
      </c>
      <c r="C20" s="1975" t="s">
        <v>687</v>
      </c>
      <c r="D20" s="1974" t="s">
        <v>663</v>
      </c>
      <c r="E20" s="1978" t="s">
        <v>674</v>
      </c>
      <c r="F20" s="1978" t="s">
        <v>674</v>
      </c>
      <c r="H20" s="1943"/>
      <c r="I20" s="1591">
        <v>4</v>
      </c>
      <c r="J20" s="1944" t="s">
        <v>688</v>
      </c>
      <c r="K20" s="1940" t="s">
        <v>629</v>
      </c>
      <c r="L20" s="664"/>
      <c r="M20" s="494"/>
      <c r="N20" s="480"/>
      <c r="O20" s="1452"/>
      <c r="P20" s="480"/>
      <c r="AK20" s="1558">
        <v>74</v>
      </c>
    </row>
    <row r="21" spans="1:37" ht="36" customHeight="1">
      <c r="A21" s="1976"/>
      <c r="B21" s="1975" t="s">
        <v>689</v>
      </c>
      <c r="C21" s="1975" t="s">
        <v>690</v>
      </c>
      <c r="D21" s="1974" t="s">
        <v>663</v>
      </c>
      <c r="E21" s="1978" t="s">
        <v>674</v>
      </c>
      <c r="F21" s="1978" t="s">
        <v>674</v>
      </c>
      <c r="H21" s="1943"/>
      <c r="I21" s="1591">
        <v>5</v>
      </c>
      <c r="J21" s="1944" t="s">
        <v>691</v>
      </c>
      <c r="K21" s="1940" t="s">
        <v>629</v>
      </c>
      <c r="L21" s="664"/>
      <c r="M21" s="494"/>
      <c r="N21" s="480"/>
      <c r="O21" s="1452" t="s">
        <v>685</v>
      </c>
      <c r="P21" s="480"/>
      <c r="AK21" s="1558">
        <v>34</v>
      </c>
    </row>
    <row r="22" spans="1:37" ht="48" customHeight="1">
      <c r="A22" s="1976"/>
      <c r="B22" s="1975" t="s">
        <v>692</v>
      </c>
      <c r="C22" s="1975" t="s">
        <v>693</v>
      </c>
      <c r="D22" s="1974" t="s">
        <v>663</v>
      </c>
      <c r="E22" s="1978" t="s">
        <v>674</v>
      </c>
      <c r="F22" s="1978" t="s">
        <v>674</v>
      </c>
      <c r="H22" s="1943"/>
      <c r="I22" s="1591">
        <v>6</v>
      </c>
      <c r="J22" s="1944" t="s">
        <v>694</v>
      </c>
      <c r="K22" s="1940" t="s">
        <v>629</v>
      </c>
      <c r="L22" s="664"/>
      <c r="M22" s="494"/>
      <c r="N22" s="480"/>
      <c r="O22" s="1452" t="s">
        <v>695</v>
      </c>
      <c r="P22" s="480"/>
      <c r="AK22" s="1558">
        <v>46</v>
      </c>
    </row>
    <row r="23" spans="1:37" ht="20.25" customHeight="1">
      <c r="A23" s="1976"/>
      <c r="B23" s="1975" t="s">
        <v>696</v>
      </c>
      <c r="C23" s="1975" t="s">
        <v>697</v>
      </c>
      <c r="D23" s="1974" t="s">
        <v>663</v>
      </c>
      <c r="E23" s="1978" t="s">
        <v>674</v>
      </c>
      <c r="F23" s="1978" t="s">
        <v>674</v>
      </c>
      <c r="H23" s="1943"/>
      <c r="I23" s="1591" t="s">
        <v>698</v>
      </c>
      <c r="J23" s="1451" t="s">
        <v>699</v>
      </c>
      <c r="K23" s="1940" t="s">
        <v>629</v>
      </c>
      <c r="L23" s="664"/>
      <c r="M23" s="494"/>
      <c r="N23" s="480"/>
      <c r="O23" s="1452" t="s">
        <v>685</v>
      </c>
      <c r="P23" s="480"/>
      <c r="AK23" s="1558">
        <v>19</v>
      </c>
    </row>
    <row r="24" spans="1:37" ht="20.25" customHeight="1">
      <c r="A24" s="1976"/>
      <c r="B24" s="1975" t="s">
        <v>700</v>
      </c>
      <c r="C24" s="1975" t="s">
        <v>701</v>
      </c>
      <c r="D24" s="1974" t="s">
        <v>663</v>
      </c>
      <c r="E24" s="1978" t="s">
        <v>674</v>
      </c>
      <c r="F24" s="1978" t="s">
        <v>674</v>
      </c>
      <c r="H24" s="1943"/>
      <c r="I24" s="1591" t="s">
        <v>702</v>
      </c>
      <c r="J24" s="1451" t="s">
        <v>703</v>
      </c>
      <c r="K24" s="1940" t="s">
        <v>629</v>
      </c>
      <c r="L24" s="664"/>
      <c r="M24" s="494"/>
      <c r="N24" s="480"/>
      <c r="O24" s="1452"/>
      <c r="P24" s="480"/>
      <c r="AK24" s="1558">
        <v>19</v>
      </c>
    </row>
    <row r="25" spans="1:37" ht="24" customHeight="1">
      <c r="A25" s="1976"/>
      <c r="B25" s="1975" t="s">
        <v>704</v>
      </c>
      <c r="C25" s="1975" t="s">
        <v>705</v>
      </c>
      <c r="D25" s="1974" t="s">
        <v>663</v>
      </c>
      <c r="E25" s="1978" t="s">
        <v>674</v>
      </c>
      <c r="F25" s="1978" t="s">
        <v>674</v>
      </c>
      <c r="H25" s="1943"/>
      <c r="I25" s="1591" t="s">
        <v>706</v>
      </c>
      <c r="J25" s="1451" t="s">
        <v>707</v>
      </c>
      <c r="K25" s="1940" t="s">
        <v>629</v>
      </c>
      <c r="L25" s="664"/>
      <c r="M25" s="494"/>
      <c r="N25" s="480"/>
      <c r="O25" s="1452"/>
      <c r="P25" s="480"/>
      <c r="AK25" s="1558">
        <v>23</v>
      </c>
    </row>
    <row r="26" spans="1:37" ht="24" customHeight="1">
      <c r="A26" s="1976"/>
      <c r="B26" s="1975" t="s">
        <v>708</v>
      </c>
      <c r="C26" s="1975" t="s">
        <v>709</v>
      </c>
      <c r="D26" s="1974" t="s">
        <v>663</v>
      </c>
      <c r="E26" s="1978" t="s">
        <v>674</v>
      </c>
      <c r="F26" s="1978" t="s">
        <v>674</v>
      </c>
      <c r="H26" s="1943"/>
      <c r="I26" s="1591">
        <v>7</v>
      </c>
      <c r="J26" s="1944" t="s">
        <v>709</v>
      </c>
      <c r="K26" s="1940" t="s">
        <v>710</v>
      </c>
      <c r="L26" s="664"/>
      <c r="M26" s="494"/>
      <c r="N26" s="480"/>
      <c r="O26" s="1452"/>
      <c r="P26" s="480"/>
      <c r="AK26" s="1558">
        <v>23</v>
      </c>
    </row>
    <row r="27" spans="1:37" ht="24" customHeight="1">
      <c r="A27" s="1976"/>
      <c r="B27" s="1975" t="s">
        <v>711</v>
      </c>
      <c r="C27" s="1975" t="s">
        <v>712</v>
      </c>
      <c r="D27" s="1974" t="s">
        <v>663</v>
      </c>
      <c r="E27" s="1978" t="s">
        <v>674</v>
      </c>
      <c r="F27" s="1978" t="s">
        <v>674</v>
      </c>
      <c r="H27" s="1943"/>
      <c r="I27" s="1591">
        <v>8</v>
      </c>
      <c r="J27" s="1944" t="s">
        <v>712</v>
      </c>
      <c r="K27" s="1940" t="s">
        <v>635</v>
      </c>
      <c r="L27" s="664"/>
      <c r="M27" s="494"/>
      <c r="N27" s="480"/>
      <c r="O27" s="1452"/>
      <c r="P27" s="480"/>
      <c r="AK27" s="1558">
        <v>23</v>
      </c>
    </row>
    <row r="28" spans="1:37" ht="36" customHeight="1">
      <c r="A28" s="1976"/>
      <c r="B28" s="1975" t="s">
        <v>713</v>
      </c>
      <c r="C28" s="1975" t="s">
        <v>714</v>
      </c>
      <c r="D28" s="1974" t="s">
        <v>663</v>
      </c>
      <c r="E28" s="1978" t="s">
        <v>674</v>
      </c>
      <c r="F28" s="1978" t="s">
        <v>674</v>
      </c>
      <c r="H28" s="1943"/>
      <c r="I28" s="1602">
        <v>9</v>
      </c>
      <c r="J28" s="1944" t="s">
        <v>715</v>
      </c>
      <c r="K28" s="1940" t="s">
        <v>606</v>
      </c>
      <c r="L28" s="664"/>
      <c r="M28" s="494"/>
      <c r="N28" s="480"/>
      <c r="O28" s="1452"/>
      <c r="P28" s="480"/>
      <c r="AK28" s="1558">
        <v>34</v>
      </c>
    </row>
    <row r="29" spans="1:37" ht="36" customHeight="1">
      <c r="A29" s="1976"/>
      <c r="B29" s="1975" t="s">
        <v>716</v>
      </c>
      <c r="C29" s="1975" t="s">
        <v>717</v>
      </c>
      <c r="D29" s="1974" t="s">
        <v>663</v>
      </c>
      <c r="E29" s="1978" t="s">
        <v>674</v>
      </c>
      <c r="F29" s="1978" t="s">
        <v>674</v>
      </c>
      <c r="H29" s="1943"/>
      <c r="I29" s="1602">
        <v>10</v>
      </c>
      <c r="J29" s="1944" t="s">
        <v>718</v>
      </c>
      <c r="K29" s="1940" t="s">
        <v>606</v>
      </c>
      <c r="L29" s="664"/>
      <c r="M29" s="494"/>
      <c r="N29" s="480"/>
      <c r="O29" s="1452"/>
      <c r="P29" s="480"/>
      <c r="AK29" s="1558">
        <v>34</v>
      </c>
    </row>
    <row r="30" spans="1:37" ht="24" customHeight="1">
      <c r="A30" s="1976"/>
      <c r="B30" s="1975" t="s">
        <v>719</v>
      </c>
      <c r="C30" s="1975" t="s">
        <v>720</v>
      </c>
      <c r="D30" s="1974" t="s">
        <v>663</v>
      </c>
      <c r="E30" s="1978" t="s">
        <v>674</v>
      </c>
      <c r="F30" s="1978" t="s">
        <v>674</v>
      </c>
      <c r="H30" s="1943"/>
      <c r="I30" s="1602">
        <v>11</v>
      </c>
      <c r="J30" s="1944" t="s">
        <v>720</v>
      </c>
      <c r="K30" s="1940" t="s">
        <v>636</v>
      </c>
      <c r="L30" s="1991"/>
      <c r="M30" s="1548"/>
      <c r="N30" s="480"/>
      <c r="O30" s="1452"/>
      <c r="P30" s="480"/>
      <c r="AK30" s="1558">
        <v>23</v>
      </c>
    </row>
    <row r="31" spans="1:37" ht="24" customHeight="1">
      <c r="A31" s="1976"/>
      <c r="B31" s="1975" t="s">
        <v>721</v>
      </c>
      <c r="C31" s="1975" t="s">
        <v>722</v>
      </c>
      <c r="D31" s="1974" t="s">
        <v>663</v>
      </c>
      <c r="E31" s="1978" t="s">
        <v>674</v>
      </c>
      <c r="F31" s="1978" t="s">
        <v>674</v>
      </c>
      <c r="H31" s="1943"/>
      <c r="I31" s="1602">
        <v>12</v>
      </c>
      <c r="J31" s="1944" t="s">
        <v>722</v>
      </c>
      <c r="K31" s="1940" t="s">
        <v>636</v>
      </c>
      <c r="L31" s="1991"/>
      <c r="M31" s="1548"/>
      <c r="N31" s="480"/>
      <c r="O31" s="1452"/>
      <c r="P31" s="480"/>
      <c r="AK31" s="1558">
        <v>23</v>
      </c>
    </row>
    <row r="32" spans="1:37" ht="48" customHeight="1">
      <c r="A32" s="1976"/>
      <c r="B32" s="1975" t="s">
        <v>723</v>
      </c>
      <c r="C32" s="1975" t="s">
        <v>724</v>
      </c>
      <c r="D32" s="1974" t="s">
        <v>663</v>
      </c>
      <c r="E32" s="1978" t="s">
        <v>674</v>
      </c>
      <c r="F32" s="1978" t="s">
        <v>674</v>
      </c>
      <c r="H32" s="1943"/>
      <c r="I32" s="1602">
        <v>13</v>
      </c>
      <c r="J32" s="1944" t="s">
        <v>725</v>
      </c>
      <c r="K32" s="1940" t="s">
        <v>646</v>
      </c>
      <c r="L32" s="664"/>
      <c r="M32" s="494"/>
      <c r="N32" s="480"/>
      <c r="O32" s="1452" t="s">
        <v>685</v>
      </c>
      <c r="P32" s="480"/>
      <c r="AK32" s="1558">
        <v>46</v>
      </c>
    </row>
    <row r="33" spans="1:37" s="1293" customFormat="1" ht="48" customHeight="1">
      <c r="A33" s="1976"/>
      <c r="B33" s="1975" t="s">
        <v>726</v>
      </c>
      <c r="C33" s="1975" t="s">
        <v>727</v>
      </c>
      <c r="D33" s="1974" t="s">
        <v>663</v>
      </c>
      <c r="E33" s="1978" t="s">
        <v>674</v>
      </c>
      <c r="F33" s="1978" t="s">
        <v>674</v>
      </c>
      <c r="G33" s="1563"/>
      <c r="H33" s="1943"/>
      <c r="I33" s="1602">
        <v>14</v>
      </c>
      <c r="J33" s="1956" t="s">
        <v>728</v>
      </c>
      <c r="K33" s="1945" t="s">
        <v>729</v>
      </c>
      <c r="L33" s="664"/>
      <c r="M33" s="494"/>
      <c r="N33" s="480"/>
      <c r="O33" s="1452" t="s">
        <v>685</v>
      </c>
      <c r="P33" s="480"/>
      <c r="Q33" s="1563"/>
      <c r="R33" s="1563"/>
      <c r="W33" s="1563"/>
      <c r="Z33" s="481"/>
      <c r="AF33" s="1559"/>
      <c r="AG33" s="1559"/>
      <c r="AH33" s="1559"/>
      <c r="AI33" s="1559"/>
      <c r="AJ33" s="1559"/>
      <c r="AK33" s="1293">
        <v>46</v>
      </c>
    </row>
    <row r="34" spans="1:37" ht="108" customHeight="1">
      <c r="A34" s="1976"/>
      <c r="B34" s="1975" t="s">
        <v>730</v>
      </c>
      <c r="C34" s="1975" t="s">
        <v>731</v>
      </c>
      <c r="D34" s="1974" t="s">
        <v>673</v>
      </c>
      <c r="E34" s="1978" t="s">
        <v>674</v>
      </c>
      <c r="F34" s="1978" t="s">
        <v>674</v>
      </c>
      <c r="G34" s="1563" t="s">
        <v>634</v>
      </c>
      <c r="H34" s="1943"/>
      <c r="I34" s="1954">
        <v>15</v>
      </c>
      <c r="J34" s="1955" t="s">
        <v>732</v>
      </c>
      <c r="K34" s="1940" t="s">
        <v>351</v>
      </c>
      <c r="L34" s="322"/>
      <c r="M34" s="1091"/>
      <c r="N34" s="480"/>
      <c r="O34" s="1452" t="s">
        <v>677</v>
      </c>
      <c r="P34" s="480"/>
      <c r="AK34" s="1558">
        <v>103</v>
      </c>
    </row>
    <row r="35" spans="1:37" s="1568" customFormat="1" ht="11.25" customHeight="1">
      <c r="A35" s="917"/>
      <c r="B35" s="917"/>
      <c r="C35" s="917"/>
      <c r="D35" s="917"/>
      <c r="E35" s="917"/>
      <c r="F35" s="1563"/>
      <c r="G35" s="1563"/>
      <c r="H35" s="288"/>
      <c r="N35" s="1293"/>
      <c r="P35" s="1293"/>
      <c r="Q35" s="1563"/>
      <c r="R35" s="1563"/>
      <c r="S35" s="1293"/>
      <c r="T35" s="1293"/>
      <c r="U35" s="1293"/>
      <c r="V35" s="1293"/>
      <c r="W35" s="1563"/>
      <c r="X35" s="1293"/>
      <c r="Y35" s="1293"/>
      <c r="Z35" s="481"/>
      <c r="AA35" s="1293"/>
      <c r="AB35" s="1293"/>
      <c r="AC35" s="1293"/>
      <c r="AD35" s="1293"/>
      <c r="AE35" s="1293"/>
      <c r="AF35" s="1559"/>
      <c r="AG35" s="559"/>
      <c r="AH35" s="559"/>
      <c r="AI35" s="559"/>
      <c r="AJ35" s="559"/>
      <c r="AK35" s="1568">
        <v>11</v>
      </c>
    </row>
    <row r="36" spans="1:37" s="1568" customFormat="1" ht="11.25" customHeight="1">
      <c r="A36" s="917"/>
      <c r="B36" s="917"/>
      <c r="C36" s="917"/>
      <c r="D36" s="917"/>
      <c r="E36" s="917"/>
      <c r="F36" s="1563"/>
      <c r="G36" s="1563"/>
      <c r="H36" s="288"/>
      <c r="N36" s="1293"/>
      <c r="P36" s="1293"/>
      <c r="Q36" s="1563"/>
      <c r="R36" s="1563"/>
      <c r="S36" s="1293"/>
      <c r="T36" s="1293"/>
      <c r="U36" s="1293"/>
      <c r="V36" s="1293"/>
      <c r="W36" s="1563"/>
      <c r="X36" s="1293"/>
      <c r="Y36" s="1293"/>
      <c r="Z36" s="481"/>
      <c r="AA36" s="1293"/>
      <c r="AB36" s="1293"/>
      <c r="AC36" s="1293"/>
      <c r="AD36" s="1293"/>
      <c r="AE36" s="1293"/>
      <c r="AF36" s="1559"/>
      <c r="AG36" s="559"/>
      <c r="AH36" s="559"/>
      <c r="AI36" s="559"/>
      <c r="AJ36" s="559"/>
      <c r="AK36" s="1568">
        <v>11</v>
      </c>
    </row>
    <row r="37" spans="1:37" s="1568" customFormat="1" ht="11.25" customHeight="1">
      <c r="A37" s="917"/>
      <c r="B37" s="917"/>
      <c r="C37" s="917"/>
      <c r="D37" s="917"/>
      <c r="E37" s="917"/>
      <c r="F37" s="1563"/>
      <c r="G37" s="1563"/>
      <c r="H37" s="288"/>
      <c r="L37" s="559"/>
      <c r="M37" s="559"/>
      <c r="N37" s="1293"/>
      <c r="P37" s="1293"/>
      <c r="Q37" s="1563"/>
      <c r="R37" s="1563"/>
      <c r="S37" s="1293"/>
      <c r="T37" s="1293"/>
      <c r="U37" s="1293"/>
      <c r="V37" s="1293"/>
      <c r="W37" s="1563"/>
      <c r="X37" s="1293"/>
      <c r="Y37" s="1293"/>
      <c r="Z37" s="481"/>
      <c r="AA37" s="1293"/>
      <c r="AB37" s="1293"/>
      <c r="AC37" s="1293"/>
      <c r="AD37" s="1293"/>
      <c r="AE37" s="1293"/>
      <c r="AF37" s="1559"/>
      <c r="AG37" s="559"/>
      <c r="AH37" s="559"/>
      <c r="AI37" s="559"/>
      <c r="AJ37" s="559"/>
      <c r="AK37" s="1568">
        <v>11</v>
      </c>
    </row>
    <row r="38" spans="1:37" s="1568" customFormat="1" ht="11.25" customHeight="1">
      <c r="A38" s="917"/>
      <c r="B38" s="917"/>
      <c r="C38" s="917"/>
      <c r="D38" s="917"/>
      <c r="E38" s="917"/>
      <c r="F38" s="1563"/>
      <c r="G38" s="1563"/>
      <c r="H38" s="288"/>
      <c r="N38" s="1293"/>
      <c r="P38" s="1293"/>
      <c r="Q38" s="1563"/>
      <c r="R38" s="1563"/>
      <c r="S38" s="1293"/>
      <c r="T38" s="1293"/>
      <c r="U38" s="1293"/>
      <c r="V38" s="1293"/>
      <c r="W38" s="1563"/>
      <c r="X38" s="1293"/>
      <c r="Y38" s="1293"/>
      <c r="Z38" s="481"/>
      <c r="AA38" s="1293"/>
      <c r="AB38" s="1293"/>
      <c r="AC38" s="1293"/>
      <c r="AD38" s="1293"/>
      <c r="AE38" s="1293"/>
      <c r="AF38" s="1559"/>
      <c r="AG38" s="559"/>
      <c r="AH38" s="559"/>
      <c r="AI38" s="559"/>
      <c r="AJ38" s="559"/>
      <c r="AK38" s="1568">
        <v>11</v>
      </c>
    </row>
    <row r="39" spans="1:37" s="1568" customFormat="1" ht="11.25" customHeight="1">
      <c r="A39" s="917"/>
      <c r="B39" s="917"/>
      <c r="C39" s="917"/>
      <c r="D39" s="917"/>
      <c r="E39" s="917"/>
      <c r="F39" s="1563"/>
      <c r="G39" s="1563"/>
      <c r="H39" s="288"/>
      <c r="N39" s="1293"/>
      <c r="P39" s="1293"/>
      <c r="Q39" s="1563"/>
      <c r="R39" s="1563"/>
      <c r="S39" s="1293"/>
      <c r="T39" s="1293"/>
      <c r="U39" s="1293"/>
      <c r="V39" s="1293"/>
      <c r="W39" s="1563"/>
      <c r="X39" s="1293"/>
      <c r="Y39" s="1293"/>
      <c r="Z39" s="481"/>
      <c r="AA39" s="1293"/>
      <c r="AB39" s="1293"/>
      <c r="AC39" s="1293"/>
      <c r="AD39" s="1293"/>
      <c r="AE39" s="1293"/>
      <c r="AF39" s="1559"/>
      <c r="AG39" s="559"/>
      <c r="AH39" s="559"/>
      <c r="AI39" s="559"/>
      <c r="AJ39" s="559"/>
      <c r="AK39" s="1568">
        <v>11</v>
      </c>
    </row>
    <row r="40" spans="1:37" s="1568" customFormat="1" ht="11.25" customHeight="1">
      <c r="A40" s="917"/>
      <c r="B40" s="917"/>
      <c r="C40" s="917"/>
      <c r="D40" s="917"/>
      <c r="E40" s="917"/>
      <c r="F40" s="1563"/>
      <c r="G40" s="1563"/>
      <c r="H40" s="288"/>
      <c r="N40" s="1293"/>
      <c r="P40" s="1293"/>
      <c r="Q40" s="1563"/>
      <c r="R40" s="1563"/>
      <c r="S40" s="1293"/>
      <c r="T40" s="1293"/>
      <c r="U40" s="1293"/>
      <c r="V40" s="1293"/>
      <c r="W40" s="1563"/>
      <c r="X40" s="1293"/>
      <c r="Y40" s="1293"/>
      <c r="Z40" s="481"/>
      <c r="AA40" s="1293"/>
      <c r="AB40" s="1293"/>
      <c r="AC40" s="1293"/>
      <c r="AD40" s="1293"/>
      <c r="AE40" s="1293"/>
      <c r="AF40" s="1559"/>
      <c r="AG40" s="559"/>
      <c r="AH40" s="559"/>
      <c r="AI40" s="559"/>
      <c r="AJ40" s="559"/>
      <c r="AK40" s="1568">
        <v>11</v>
      </c>
    </row>
    <row r="41" spans="1:37" s="1568" customFormat="1" ht="11.25" customHeight="1">
      <c r="A41" s="917"/>
      <c r="B41" s="917"/>
      <c r="C41" s="917"/>
      <c r="D41" s="917"/>
      <c r="E41" s="917"/>
      <c r="F41" s="1563"/>
      <c r="G41" s="1563"/>
      <c r="H41" s="288"/>
      <c r="N41" s="1293"/>
      <c r="P41" s="1293"/>
      <c r="Q41" s="1563"/>
      <c r="R41" s="1563"/>
      <c r="S41" s="1293"/>
      <c r="T41" s="1293"/>
      <c r="U41" s="1293"/>
      <c r="V41" s="1293"/>
      <c r="W41" s="1563"/>
      <c r="X41" s="1293"/>
      <c r="Y41" s="1293"/>
      <c r="Z41" s="481"/>
      <c r="AA41" s="1293"/>
      <c r="AB41" s="1293"/>
      <c r="AC41" s="1293"/>
      <c r="AD41" s="1293"/>
      <c r="AE41" s="1293"/>
      <c r="AF41" s="1559"/>
      <c r="AG41" s="559"/>
      <c r="AH41" s="559"/>
      <c r="AI41" s="559"/>
      <c r="AJ41" s="559"/>
      <c r="AK41" s="1568">
        <v>11</v>
      </c>
    </row>
    <row r="42" spans="1:37" s="1568" customFormat="1" ht="11.25" customHeight="1">
      <c r="A42" s="917"/>
      <c r="B42" s="917"/>
      <c r="C42" s="917"/>
      <c r="D42" s="917"/>
      <c r="E42" s="917"/>
      <c r="F42" s="1563"/>
      <c r="G42" s="1563"/>
      <c r="H42" s="288"/>
      <c r="N42" s="1293"/>
      <c r="P42" s="1293"/>
      <c r="Q42" s="1563"/>
      <c r="R42" s="1563"/>
      <c r="S42" s="1293"/>
      <c r="T42" s="1293"/>
      <c r="U42" s="1293"/>
      <c r="V42" s="1293"/>
      <c r="W42" s="1563"/>
      <c r="X42" s="1293"/>
      <c r="Y42" s="1293"/>
      <c r="Z42" s="481"/>
      <c r="AA42" s="1293"/>
      <c r="AB42" s="1293"/>
      <c r="AC42" s="1293"/>
      <c r="AD42" s="1293"/>
      <c r="AE42" s="1293"/>
      <c r="AF42" s="1559"/>
      <c r="AG42" s="559"/>
      <c r="AH42" s="559"/>
      <c r="AI42" s="559"/>
      <c r="AJ42" s="559"/>
      <c r="AK42" s="1568">
        <v>11</v>
      </c>
    </row>
    <row r="43" spans="1:37" s="1568" customFormat="1" ht="11.25" customHeight="1">
      <c r="A43" s="917"/>
      <c r="B43" s="917"/>
      <c r="C43" s="917"/>
      <c r="D43" s="917"/>
      <c r="E43" s="917"/>
      <c r="F43" s="1563"/>
      <c r="G43" s="1563"/>
      <c r="H43" s="288"/>
      <c r="N43" s="1293"/>
      <c r="P43" s="1293"/>
      <c r="Q43" s="1563"/>
      <c r="R43" s="1563"/>
      <c r="S43" s="1293"/>
      <c r="T43" s="1293"/>
      <c r="U43" s="1293"/>
      <c r="V43" s="1293"/>
      <c r="W43" s="1563"/>
      <c r="X43" s="1293"/>
      <c r="Y43" s="1293"/>
      <c r="Z43" s="481"/>
      <c r="AA43" s="1293"/>
      <c r="AB43" s="1293"/>
      <c r="AC43" s="1293"/>
      <c r="AD43" s="1293"/>
      <c r="AE43" s="1293"/>
      <c r="AF43" s="1559"/>
      <c r="AG43" s="559"/>
      <c r="AH43" s="559"/>
      <c r="AI43" s="559"/>
      <c r="AJ43" s="559"/>
      <c r="AK43" s="1568">
        <v>11</v>
      </c>
    </row>
    <row r="44" spans="1:37" s="1568" customFormat="1" ht="11.25" customHeight="1">
      <c r="A44" s="917"/>
      <c r="B44" s="917"/>
      <c r="C44" s="917"/>
      <c r="D44" s="917"/>
      <c r="E44" s="917"/>
      <c r="F44" s="1563"/>
      <c r="G44" s="1563"/>
      <c r="H44" s="288"/>
      <c r="N44" s="1293"/>
      <c r="P44" s="1293"/>
      <c r="Q44" s="1563"/>
      <c r="R44" s="1563"/>
      <c r="S44" s="1293"/>
      <c r="T44" s="1293"/>
      <c r="U44" s="1293"/>
      <c r="V44" s="1293"/>
      <c r="W44" s="1563"/>
      <c r="X44" s="1293"/>
      <c r="Y44" s="1293"/>
      <c r="Z44" s="481"/>
      <c r="AA44" s="1293"/>
      <c r="AB44" s="1293"/>
      <c r="AC44" s="1293"/>
      <c r="AD44" s="1293"/>
      <c r="AE44" s="1293"/>
      <c r="AF44" s="1559"/>
      <c r="AG44" s="559"/>
      <c r="AH44" s="559"/>
      <c r="AI44" s="559"/>
      <c r="AJ44" s="559"/>
      <c r="AK44" s="1568">
        <v>11</v>
      </c>
    </row>
    <row r="45" spans="1:37" s="1568" customFormat="1" ht="11.25" customHeight="1">
      <c r="A45" s="917"/>
      <c r="B45" s="917"/>
      <c r="C45" s="917"/>
      <c r="D45" s="917"/>
      <c r="E45" s="917"/>
      <c r="F45" s="1563"/>
      <c r="G45" s="1563"/>
      <c r="H45" s="288"/>
      <c r="N45" s="1293"/>
      <c r="P45" s="1293"/>
      <c r="Q45" s="1563"/>
      <c r="R45" s="1563"/>
      <c r="S45" s="1293"/>
      <c r="T45" s="1293"/>
      <c r="U45" s="1293"/>
      <c r="V45" s="1293"/>
      <c r="W45" s="1563"/>
      <c r="X45" s="1293"/>
      <c r="Y45" s="1293"/>
      <c r="Z45" s="481"/>
      <c r="AA45" s="1293"/>
      <c r="AB45" s="1293"/>
      <c r="AC45" s="1293"/>
      <c r="AD45" s="1293"/>
      <c r="AE45" s="1293"/>
      <c r="AF45" s="1559"/>
      <c r="AG45" s="559"/>
      <c r="AH45" s="559"/>
      <c r="AI45" s="559"/>
      <c r="AJ45" s="559"/>
      <c r="AK45" s="1568">
        <v>11</v>
      </c>
    </row>
    <row r="46" spans="1:37" s="1568" customFormat="1" ht="11.25" customHeight="1">
      <c r="A46" s="917"/>
      <c r="B46" s="917"/>
      <c r="C46" s="917"/>
      <c r="D46" s="917"/>
      <c r="E46" s="917"/>
      <c r="F46" s="1563"/>
      <c r="G46" s="1563"/>
      <c r="H46" s="288"/>
      <c r="N46" s="1293"/>
      <c r="P46" s="1293"/>
      <c r="Q46" s="1563"/>
      <c r="R46" s="1563"/>
      <c r="S46" s="1293"/>
      <c r="T46" s="1293"/>
      <c r="U46" s="1293"/>
      <c r="V46" s="1293"/>
      <c r="W46" s="1563"/>
      <c r="X46" s="1293"/>
      <c r="Y46" s="1293"/>
      <c r="Z46" s="481"/>
      <c r="AA46" s="1293"/>
      <c r="AB46" s="1293"/>
      <c r="AC46" s="1293"/>
      <c r="AD46" s="1293"/>
      <c r="AE46" s="1293"/>
      <c r="AF46" s="1559"/>
      <c r="AG46" s="559"/>
      <c r="AH46" s="559"/>
      <c r="AI46" s="559"/>
      <c r="AJ46" s="559"/>
      <c r="AK46" s="1568">
        <v>11</v>
      </c>
    </row>
    <row r="47" spans="1:37" s="1568" customFormat="1" ht="11.25" customHeight="1">
      <c r="A47" s="917"/>
      <c r="B47" s="917"/>
      <c r="C47" s="917"/>
      <c r="D47" s="917"/>
      <c r="E47" s="917"/>
      <c r="F47" s="1563"/>
      <c r="G47" s="1563"/>
      <c r="H47" s="288"/>
      <c r="N47" s="1293"/>
      <c r="P47" s="1293"/>
      <c r="Q47" s="1563"/>
      <c r="R47" s="1563"/>
      <c r="S47" s="1293"/>
      <c r="T47" s="1293"/>
      <c r="U47" s="1293"/>
      <c r="V47" s="1293"/>
      <c r="W47" s="1563"/>
      <c r="X47" s="1293"/>
      <c r="Y47" s="1293"/>
      <c r="Z47" s="481"/>
      <c r="AA47" s="1293"/>
      <c r="AB47" s="1293"/>
      <c r="AC47" s="1293"/>
      <c r="AD47" s="1293"/>
      <c r="AE47" s="1293"/>
      <c r="AF47" s="1559"/>
      <c r="AG47" s="559"/>
      <c r="AH47" s="559"/>
      <c r="AI47" s="559"/>
      <c r="AJ47" s="559"/>
      <c r="AK47" s="1568">
        <v>11</v>
      </c>
    </row>
    <row r="48" spans="1:37" s="1568" customFormat="1" ht="11.25" customHeight="1">
      <c r="A48" s="917"/>
      <c r="B48" s="917"/>
      <c r="C48" s="917"/>
      <c r="D48" s="917"/>
      <c r="E48" s="917"/>
      <c r="F48" s="1563"/>
      <c r="G48" s="1563"/>
      <c r="H48" s="288"/>
      <c r="N48" s="1293"/>
      <c r="P48" s="1293"/>
      <c r="Q48" s="1563"/>
      <c r="R48" s="1563"/>
      <c r="S48" s="1293"/>
      <c r="T48" s="1293"/>
      <c r="U48" s="1293"/>
      <c r="V48" s="1293"/>
      <c r="W48" s="1563"/>
      <c r="X48" s="1293"/>
      <c r="Y48" s="1293"/>
      <c r="Z48" s="481"/>
      <c r="AA48" s="1293"/>
      <c r="AB48" s="1293"/>
      <c r="AC48" s="1293"/>
      <c r="AD48" s="1293"/>
      <c r="AE48" s="1293"/>
      <c r="AF48" s="1559"/>
      <c r="AG48" s="559"/>
      <c r="AH48" s="559"/>
      <c r="AI48" s="559"/>
      <c r="AJ48" s="559"/>
      <c r="AK48" s="1568">
        <v>11</v>
      </c>
    </row>
    <row r="49" spans="1:37" s="1568" customFormat="1" ht="11.25" customHeight="1">
      <c r="A49" s="917"/>
      <c r="B49" s="917"/>
      <c r="C49" s="917"/>
      <c r="D49" s="917"/>
      <c r="E49" s="917"/>
      <c r="F49" s="1563"/>
      <c r="G49" s="1563"/>
      <c r="H49" s="288"/>
      <c r="N49" s="1293"/>
      <c r="P49" s="1293"/>
      <c r="Q49" s="1563"/>
      <c r="R49" s="1563"/>
      <c r="S49" s="1293"/>
      <c r="T49" s="1293"/>
      <c r="U49" s="1293"/>
      <c r="V49" s="1293"/>
      <c r="W49" s="1563"/>
      <c r="X49" s="1293"/>
      <c r="Y49" s="1293"/>
      <c r="Z49" s="481"/>
      <c r="AA49" s="1293"/>
      <c r="AB49" s="1293"/>
      <c r="AC49" s="1293"/>
      <c r="AD49" s="1293"/>
      <c r="AE49" s="1293"/>
      <c r="AF49" s="1559"/>
      <c r="AG49" s="559"/>
      <c r="AH49" s="559"/>
      <c r="AI49" s="559"/>
      <c r="AJ49" s="559"/>
      <c r="AK49" s="1568">
        <v>11</v>
      </c>
    </row>
    <row r="50" spans="1:37" s="1568" customFormat="1" ht="11.25" customHeight="1">
      <c r="A50" s="917"/>
      <c r="B50" s="917"/>
      <c r="C50" s="917"/>
      <c r="D50" s="917"/>
      <c r="E50" s="917"/>
      <c r="F50" s="1563"/>
      <c r="G50" s="1563"/>
      <c r="H50" s="288"/>
      <c r="N50" s="1293"/>
      <c r="P50" s="1293"/>
      <c r="Q50" s="1563"/>
      <c r="R50" s="1563"/>
      <c r="S50" s="1293"/>
      <c r="T50" s="1293"/>
      <c r="U50" s="1293"/>
      <c r="V50" s="1293"/>
      <c r="W50" s="1563"/>
      <c r="X50" s="1293"/>
      <c r="Y50" s="1293"/>
      <c r="Z50" s="481"/>
      <c r="AA50" s="1293"/>
      <c r="AB50" s="1293"/>
      <c r="AC50" s="1293"/>
      <c r="AD50" s="1293"/>
      <c r="AE50" s="1293"/>
      <c r="AF50" s="1559"/>
      <c r="AG50" s="559"/>
      <c r="AH50" s="559"/>
      <c r="AI50" s="559"/>
      <c r="AJ50" s="559"/>
      <c r="AK50" s="1568">
        <v>11</v>
      </c>
    </row>
    <row r="51" spans="1:37" s="1568" customFormat="1" ht="11.25" customHeight="1">
      <c r="A51" s="917"/>
      <c r="B51" s="917"/>
      <c r="C51" s="917"/>
      <c r="D51" s="917"/>
      <c r="E51" s="917"/>
      <c r="F51" s="1563"/>
      <c r="G51" s="1563"/>
      <c r="H51" s="288"/>
      <c r="N51" s="1293"/>
      <c r="P51" s="1293"/>
      <c r="Q51" s="1563"/>
      <c r="R51" s="1563"/>
      <c r="S51" s="1293"/>
      <c r="T51" s="1293"/>
      <c r="U51" s="1293"/>
      <c r="V51" s="1293"/>
      <c r="W51" s="1563"/>
      <c r="X51" s="1293"/>
      <c r="Y51" s="1293"/>
      <c r="Z51" s="481"/>
      <c r="AA51" s="1293"/>
      <c r="AB51" s="1293"/>
      <c r="AC51" s="1293"/>
      <c r="AD51" s="1293"/>
      <c r="AE51" s="1293"/>
      <c r="AF51" s="1559"/>
      <c r="AG51" s="559"/>
      <c r="AH51" s="559"/>
      <c r="AI51" s="559"/>
      <c r="AJ51" s="559"/>
      <c r="AK51" s="1568">
        <v>11</v>
      </c>
    </row>
    <row r="52" spans="1:37" s="1568" customFormat="1" ht="11.25" customHeight="1">
      <c r="A52" s="917"/>
      <c r="B52" s="917"/>
      <c r="C52" s="917"/>
      <c r="D52" s="917"/>
      <c r="E52" s="917"/>
      <c r="F52" s="1563"/>
      <c r="G52" s="1563"/>
      <c r="H52" s="288"/>
      <c r="N52" s="1293"/>
      <c r="P52" s="1293"/>
      <c r="Q52" s="1563"/>
      <c r="R52" s="1563"/>
      <c r="S52" s="1293"/>
      <c r="T52" s="1293"/>
      <c r="U52" s="1293"/>
      <c r="V52" s="1293"/>
      <c r="W52" s="1563"/>
      <c r="X52" s="1293"/>
      <c r="Y52" s="1293"/>
      <c r="Z52" s="481"/>
      <c r="AA52" s="1293"/>
      <c r="AB52" s="1293"/>
      <c r="AC52" s="1293"/>
      <c r="AD52" s="1293"/>
      <c r="AE52" s="1293"/>
      <c r="AF52" s="1559"/>
      <c r="AG52" s="559"/>
      <c r="AH52" s="559"/>
      <c r="AI52" s="559"/>
      <c r="AJ52" s="559"/>
      <c r="AK52" s="1568">
        <v>11</v>
      </c>
    </row>
    <row r="53" spans="1:37" s="1568" customFormat="1" ht="11.25" customHeight="1">
      <c r="A53" s="917"/>
      <c r="B53" s="917"/>
      <c r="C53" s="917"/>
      <c r="D53" s="917"/>
      <c r="E53" s="917"/>
      <c r="F53" s="1563"/>
      <c r="G53" s="1563"/>
      <c r="H53" s="288"/>
      <c r="N53" s="1293"/>
      <c r="P53" s="1293"/>
      <c r="Q53" s="1563"/>
      <c r="R53" s="1563"/>
      <c r="S53" s="1293"/>
      <c r="T53" s="1293"/>
      <c r="U53" s="1293"/>
      <c r="V53" s="1293"/>
      <c r="W53" s="1563"/>
      <c r="X53" s="1293"/>
      <c r="Y53" s="1293"/>
      <c r="Z53" s="481"/>
      <c r="AA53" s="1293"/>
      <c r="AB53" s="1293"/>
      <c r="AC53" s="1293"/>
      <c r="AD53" s="1293"/>
      <c r="AE53" s="1293"/>
      <c r="AF53" s="1559"/>
      <c r="AG53" s="559"/>
      <c r="AH53" s="559"/>
      <c r="AI53" s="559"/>
      <c r="AJ53" s="559"/>
      <c r="AK53" s="1568">
        <v>11</v>
      </c>
    </row>
    <row r="54" spans="1:37" s="1568" customFormat="1" ht="11.25" customHeight="1">
      <c r="A54" s="917"/>
      <c r="B54" s="917"/>
      <c r="C54" s="917"/>
      <c r="D54" s="917"/>
      <c r="E54" s="917"/>
      <c r="F54" s="1563"/>
      <c r="G54" s="1563"/>
      <c r="H54" s="288"/>
      <c r="N54" s="1293"/>
      <c r="P54" s="1293"/>
      <c r="Q54" s="1563"/>
      <c r="R54" s="1563"/>
      <c r="S54" s="1293"/>
      <c r="T54" s="1293"/>
      <c r="U54" s="1293"/>
      <c r="V54" s="1293"/>
      <c r="W54" s="1563"/>
      <c r="X54" s="1293"/>
      <c r="Y54" s="1293"/>
      <c r="Z54" s="481"/>
      <c r="AA54" s="1293"/>
      <c r="AB54" s="1293"/>
      <c r="AC54" s="1293"/>
      <c r="AD54" s="1293"/>
      <c r="AE54" s="1293"/>
      <c r="AF54" s="1559"/>
      <c r="AG54" s="559"/>
      <c r="AH54" s="559"/>
      <c r="AI54" s="559"/>
      <c r="AJ54" s="559"/>
      <c r="AK54" s="1568">
        <v>11</v>
      </c>
    </row>
    <row r="55" spans="1:37" s="1568" customFormat="1" ht="11.25" customHeight="1">
      <c r="A55" s="917"/>
      <c r="B55" s="917"/>
      <c r="C55" s="917"/>
      <c r="D55" s="917"/>
      <c r="E55" s="917"/>
      <c r="F55" s="1563"/>
      <c r="G55" s="1563"/>
      <c r="H55" s="288"/>
      <c r="N55" s="1293"/>
      <c r="P55" s="1293"/>
      <c r="Q55" s="1563"/>
      <c r="R55" s="1563"/>
      <c r="S55" s="1293"/>
      <c r="T55" s="1293"/>
      <c r="U55" s="1293"/>
      <c r="V55" s="1293"/>
      <c r="W55" s="1563"/>
      <c r="X55" s="1293"/>
      <c r="Y55" s="1293"/>
      <c r="Z55" s="481"/>
      <c r="AA55" s="1293"/>
      <c r="AB55" s="1293"/>
      <c r="AC55" s="1293"/>
      <c r="AD55" s="1293"/>
      <c r="AE55" s="1293"/>
      <c r="AF55" s="1559"/>
      <c r="AG55" s="559"/>
      <c r="AH55" s="559"/>
      <c r="AI55" s="559"/>
      <c r="AJ55" s="559"/>
      <c r="AK55" s="1568">
        <v>11</v>
      </c>
    </row>
    <row r="56" spans="1:37" s="1568" customFormat="1" ht="11.25" customHeight="1">
      <c r="A56" s="917"/>
      <c r="B56" s="917"/>
      <c r="C56" s="917"/>
      <c r="D56" s="917"/>
      <c r="E56" s="917"/>
      <c r="F56" s="1563"/>
      <c r="G56" s="1563"/>
      <c r="H56" s="288"/>
      <c r="N56" s="1293"/>
      <c r="P56" s="1293"/>
      <c r="Q56" s="1563"/>
      <c r="R56" s="1563"/>
      <c r="S56" s="1293"/>
      <c r="T56" s="1293"/>
      <c r="U56" s="1293"/>
      <c r="V56" s="1293"/>
      <c r="W56" s="1563"/>
      <c r="X56" s="1293"/>
      <c r="Y56" s="1293"/>
      <c r="Z56" s="481"/>
      <c r="AA56" s="1293"/>
      <c r="AB56" s="1293"/>
      <c r="AC56" s="1293"/>
      <c r="AD56" s="1293"/>
      <c r="AE56" s="1293"/>
      <c r="AF56" s="1559"/>
      <c r="AG56" s="559"/>
      <c r="AH56" s="559"/>
      <c r="AI56" s="559"/>
      <c r="AJ56" s="559"/>
      <c r="AK56" s="1568">
        <v>11</v>
      </c>
    </row>
    <row r="57" spans="1:37" s="1568" customFormat="1" ht="11.25" customHeight="1">
      <c r="A57" s="917"/>
      <c r="B57" s="917"/>
      <c r="C57" s="917"/>
      <c r="D57" s="917"/>
      <c r="E57" s="917"/>
      <c r="F57" s="1563"/>
      <c r="G57" s="1563"/>
      <c r="H57" s="288"/>
      <c r="N57" s="1293"/>
      <c r="P57" s="1293"/>
      <c r="Q57" s="1563"/>
      <c r="R57" s="1563"/>
      <c r="S57" s="1293"/>
      <c r="T57" s="1293"/>
      <c r="U57" s="1293"/>
      <c r="V57" s="1293"/>
      <c r="W57" s="1563"/>
      <c r="X57" s="1293"/>
      <c r="Y57" s="1293"/>
      <c r="Z57" s="481"/>
      <c r="AA57" s="1293"/>
      <c r="AB57" s="1293"/>
      <c r="AC57" s="1293"/>
      <c r="AD57" s="1293"/>
      <c r="AE57" s="1293"/>
      <c r="AF57" s="1559"/>
      <c r="AG57" s="559"/>
      <c r="AH57" s="559"/>
      <c r="AI57" s="559"/>
      <c r="AJ57" s="559"/>
      <c r="AK57" s="1568">
        <v>11</v>
      </c>
    </row>
    <row r="58" spans="1:37" s="1568" customFormat="1" ht="11.25" customHeight="1">
      <c r="A58" s="917"/>
      <c r="B58" s="917"/>
      <c r="C58" s="917"/>
      <c r="D58" s="917"/>
      <c r="E58" s="917"/>
      <c r="F58" s="1563"/>
      <c r="G58" s="1563"/>
      <c r="H58" s="288"/>
      <c r="N58" s="1293"/>
      <c r="P58" s="1293"/>
      <c r="Q58" s="1563"/>
      <c r="R58" s="1563"/>
      <c r="S58" s="1293"/>
      <c r="T58" s="1293"/>
      <c r="U58" s="1293"/>
      <c r="V58" s="1293"/>
      <c r="W58" s="1563"/>
      <c r="X58" s="1293"/>
      <c r="Y58" s="1293"/>
      <c r="Z58" s="481"/>
      <c r="AA58" s="1293"/>
      <c r="AB58" s="1293"/>
      <c r="AC58" s="1293"/>
      <c r="AD58" s="1293"/>
      <c r="AE58" s="1293"/>
      <c r="AF58" s="1559"/>
      <c r="AG58" s="559"/>
      <c r="AH58" s="559"/>
      <c r="AI58" s="559"/>
      <c r="AJ58" s="559"/>
      <c r="AK58" s="1568">
        <v>11</v>
      </c>
    </row>
    <row r="59" spans="1:37" s="1568" customFormat="1" ht="11.25" customHeight="1">
      <c r="A59" s="917"/>
      <c r="B59" s="917"/>
      <c r="C59" s="917"/>
      <c r="D59" s="917"/>
      <c r="E59" s="917"/>
      <c r="F59" s="1563"/>
      <c r="G59" s="1563"/>
      <c r="H59" s="288"/>
      <c r="N59" s="1293"/>
      <c r="P59" s="1293"/>
      <c r="Q59" s="1563"/>
      <c r="R59" s="1563"/>
      <c r="S59" s="1293"/>
      <c r="T59" s="1293"/>
      <c r="U59" s="1293"/>
      <c r="V59" s="1293"/>
      <c r="W59" s="1563"/>
      <c r="X59" s="1293"/>
      <c r="Y59" s="1293"/>
      <c r="Z59" s="481"/>
      <c r="AA59" s="1293"/>
      <c r="AB59" s="1293"/>
      <c r="AC59" s="1293"/>
      <c r="AD59" s="1293"/>
      <c r="AE59" s="1293"/>
      <c r="AF59" s="1559"/>
      <c r="AG59" s="559"/>
      <c r="AH59" s="559"/>
      <c r="AI59" s="559"/>
      <c r="AJ59" s="559"/>
      <c r="AK59" s="1568">
        <v>11</v>
      </c>
    </row>
    <row r="60" spans="1:37" s="1568" customFormat="1" ht="11.25" customHeight="1">
      <c r="A60" s="917"/>
      <c r="B60" s="917"/>
      <c r="C60" s="917"/>
      <c r="D60" s="917"/>
      <c r="E60" s="917"/>
      <c r="F60" s="1563"/>
      <c r="G60" s="1563"/>
      <c r="H60" s="288"/>
      <c r="N60" s="1293"/>
      <c r="P60" s="1293"/>
      <c r="Q60" s="1563"/>
      <c r="R60" s="1563"/>
      <c r="S60" s="1293"/>
      <c r="T60" s="1293"/>
      <c r="U60" s="1293"/>
      <c r="V60" s="1293"/>
      <c r="W60" s="1563"/>
      <c r="X60" s="1293"/>
      <c r="Y60" s="1293"/>
      <c r="Z60" s="481"/>
      <c r="AA60" s="1293"/>
      <c r="AB60" s="1293"/>
      <c r="AC60" s="1293"/>
      <c r="AD60" s="1293"/>
      <c r="AE60" s="1293"/>
      <c r="AF60" s="1559"/>
      <c r="AG60" s="559"/>
      <c r="AH60" s="559"/>
      <c r="AI60" s="559"/>
      <c r="AJ60" s="559"/>
      <c r="AK60" s="1568">
        <v>11</v>
      </c>
    </row>
    <row r="61" spans="1:37" s="1568" customFormat="1" ht="11.25" customHeight="1">
      <c r="A61" s="917"/>
      <c r="B61" s="917"/>
      <c r="C61" s="917"/>
      <c r="D61" s="917"/>
      <c r="E61" s="917"/>
      <c r="F61" s="1563"/>
      <c r="G61" s="1563"/>
      <c r="H61" s="288"/>
      <c r="N61" s="1293"/>
      <c r="P61" s="1293"/>
      <c r="Q61" s="1563"/>
      <c r="R61" s="1563"/>
      <c r="S61" s="1293"/>
      <c r="T61" s="1293"/>
      <c r="U61" s="1293"/>
      <c r="V61" s="1293"/>
      <c r="W61" s="1563"/>
      <c r="X61" s="1293"/>
      <c r="Y61" s="1293"/>
      <c r="Z61" s="481"/>
      <c r="AA61" s="1293"/>
      <c r="AB61" s="1293"/>
      <c r="AC61" s="1293"/>
      <c r="AD61" s="1293"/>
      <c r="AE61" s="1293"/>
      <c r="AF61" s="1559"/>
      <c r="AG61" s="559"/>
      <c r="AH61" s="559"/>
      <c r="AI61" s="559"/>
      <c r="AJ61" s="559"/>
      <c r="AK61" s="1568">
        <v>11</v>
      </c>
    </row>
    <row r="62" spans="1:37" s="1568" customFormat="1" ht="11.25" customHeight="1">
      <c r="A62" s="917"/>
      <c r="B62" s="917"/>
      <c r="C62" s="917"/>
      <c r="D62" s="917"/>
      <c r="E62" s="917"/>
      <c r="F62" s="1563"/>
      <c r="G62" s="1563"/>
      <c r="H62" s="288"/>
      <c r="N62" s="1293"/>
      <c r="P62" s="1293"/>
      <c r="Q62" s="1563"/>
      <c r="R62" s="1563"/>
      <c r="S62" s="1293"/>
      <c r="T62" s="1293"/>
      <c r="U62" s="1293"/>
      <c r="V62" s="1293"/>
      <c r="W62" s="1563"/>
      <c r="X62" s="1293"/>
      <c r="Y62" s="1293"/>
      <c r="Z62" s="481"/>
      <c r="AA62" s="1293"/>
      <c r="AB62" s="1293"/>
      <c r="AC62" s="1293"/>
      <c r="AD62" s="1293"/>
      <c r="AE62" s="1293"/>
      <c r="AF62" s="1559"/>
      <c r="AG62" s="559"/>
      <c r="AH62" s="559"/>
      <c r="AI62" s="559"/>
      <c r="AJ62" s="559"/>
      <c r="AK62" s="1568">
        <v>11</v>
      </c>
    </row>
    <row r="63" spans="1:37" s="1568" customFormat="1" ht="11.25" customHeight="1">
      <c r="A63" s="917"/>
      <c r="B63" s="917"/>
      <c r="C63" s="917"/>
      <c r="D63" s="917"/>
      <c r="E63" s="917"/>
      <c r="F63" s="1563"/>
      <c r="G63" s="1563"/>
      <c r="H63" s="288"/>
      <c r="N63" s="1293"/>
      <c r="P63" s="1293"/>
      <c r="Q63" s="1563"/>
      <c r="R63" s="1563"/>
      <c r="S63" s="1293"/>
      <c r="T63" s="1293"/>
      <c r="U63" s="1293"/>
      <c r="V63" s="1293"/>
      <c r="W63" s="1563"/>
      <c r="X63" s="1293"/>
      <c r="Y63" s="1293"/>
      <c r="Z63" s="481"/>
      <c r="AA63" s="1293"/>
      <c r="AB63" s="1293"/>
      <c r="AC63" s="1293"/>
      <c r="AD63" s="1293"/>
      <c r="AE63" s="1293"/>
      <c r="AF63" s="1559"/>
      <c r="AG63" s="559"/>
      <c r="AH63" s="559"/>
      <c r="AI63" s="559"/>
      <c r="AJ63" s="559"/>
      <c r="AK63" s="1568">
        <v>11</v>
      </c>
    </row>
    <row r="64" spans="1:37" s="1568" customFormat="1" ht="11.25" customHeight="1">
      <c r="A64" s="917"/>
      <c r="B64" s="917"/>
      <c r="C64" s="917"/>
      <c r="D64" s="917"/>
      <c r="E64" s="917"/>
      <c r="F64" s="1563"/>
      <c r="G64" s="1563"/>
      <c r="H64" s="288"/>
      <c r="N64" s="1293"/>
      <c r="P64" s="1293"/>
      <c r="Q64" s="1563"/>
      <c r="R64" s="1563"/>
      <c r="S64" s="1293"/>
      <c r="T64" s="1293"/>
      <c r="U64" s="1293"/>
      <c r="V64" s="1293"/>
      <c r="W64" s="1563"/>
      <c r="X64" s="1293"/>
      <c r="Y64" s="1293"/>
      <c r="Z64" s="481"/>
      <c r="AA64" s="1293"/>
      <c r="AB64" s="1293"/>
      <c r="AC64" s="1293"/>
      <c r="AD64" s="1293"/>
      <c r="AE64" s="1293"/>
      <c r="AF64" s="1559"/>
      <c r="AG64" s="559"/>
      <c r="AH64" s="559"/>
      <c r="AI64" s="559"/>
      <c r="AJ64" s="559"/>
      <c r="AK64" s="1568">
        <v>11</v>
      </c>
    </row>
    <row r="65" spans="1:37" s="1568" customFormat="1" ht="11.25" customHeight="1">
      <c r="A65" s="917"/>
      <c r="B65" s="917"/>
      <c r="C65" s="917"/>
      <c r="D65" s="917"/>
      <c r="E65" s="917"/>
      <c r="F65" s="1563"/>
      <c r="G65" s="1563"/>
      <c r="H65" s="288"/>
      <c r="N65" s="1293"/>
      <c r="P65" s="1293"/>
      <c r="Q65" s="1563"/>
      <c r="R65" s="1563"/>
      <c r="S65" s="1293"/>
      <c r="T65" s="1293"/>
      <c r="U65" s="1293"/>
      <c r="V65" s="1293"/>
      <c r="W65" s="1563"/>
      <c r="X65" s="1293"/>
      <c r="Y65" s="1293"/>
      <c r="Z65" s="481"/>
      <c r="AA65" s="1293"/>
      <c r="AB65" s="1293"/>
      <c r="AC65" s="1293"/>
      <c r="AD65" s="1293"/>
      <c r="AE65" s="1293"/>
      <c r="AF65" s="1559"/>
      <c r="AG65" s="559"/>
      <c r="AH65" s="559"/>
      <c r="AI65" s="559"/>
      <c r="AJ65" s="559"/>
      <c r="AK65" s="1568">
        <v>11</v>
      </c>
    </row>
    <row r="66" spans="1:37" s="1568" customFormat="1" ht="11.25" customHeight="1">
      <c r="A66" s="917"/>
      <c r="B66" s="917"/>
      <c r="C66" s="917"/>
      <c r="D66" s="917"/>
      <c r="E66" s="917"/>
      <c r="F66" s="1563"/>
      <c r="G66" s="1563"/>
      <c r="H66" s="288"/>
      <c r="N66" s="1293"/>
      <c r="P66" s="1293"/>
      <c r="Q66" s="1563"/>
      <c r="R66" s="1563"/>
      <c r="S66" s="1293"/>
      <c r="T66" s="1293"/>
      <c r="U66" s="1293"/>
      <c r="V66" s="1293"/>
      <c r="W66" s="1563"/>
      <c r="X66" s="1293"/>
      <c r="Y66" s="1293"/>
      <c r="Z66" s="481"/>
      <c r="AA66" s="1293"/>
      <c r="AB66" s="1293"/>
      <c r="AC66" s="1293"/>
      <c r="AD66" s="1293"/>
      <c r="AE66" s="1293"/>
      <c r="AF66" s="1559"/>
      <c r="AG66" s="559"/>
      <c r="AH66" s="559"/>
      <c r="AI66" s="559"/>
      <c r="AJ66" s="559"/>
      <c r="AK66" s="1568">
        <v>11</v>
      </c>
    </row>
    <row r="67" spans="1:37" s="1568" customFormat="1" ht="11.25" customHeight="1">
      <c r="A67" s="917"/>
      <c r="B67" s="917"/>
      <c r="C67" s="917"/>
      <c r="D67" s="917"/>
      <c r="E67" s="917"/>
      <c r="F67" s="1563"/>
      <c r="G67" s="1563"/>
      <c r="H67" s="288"/>
      <c r="N67" s="1293"/>
      <c r="P67" s="1293"/>
      <c r="Q67" s="1563"/>
      <c r="R67" s="1563"/>
      <c r="S67" s="1293"/>
      <c r="T67" s="1293"/>
      <c r="U67" s="1293"/>
      <c r="V67" s="1293"/>
      <c r="W67" s="1563"/>
      <c r="X67" s="1293"/>
      <c r="Y67" s="1293"/>
      <c r="Z67" s="481"/>
      <c r="AA67" s="1293"/>
      <c r="AB67" s="1293"/>
      <c r="AC67" s="1293"/>
      <c r="AD67" s="1293"/>
      <c r="AE67" s="1293"/>
      <c r="AF67" s="1559"/>
      <c r="AG67" s="559"/>
      <c r="AH67" s="559"/>
      <c r="AI67" s="559"/>
      <c r="AJ67" s="559"/>
      <c r="AK67" s="1568">
        <v>11</v>
      </c>
    </row>
    <row r="68" spans="1:37" s="1568" customFormat="1" ht="11.25" customHeight="1">
      <c r="A68" s="917"/>
      <c r="B68" s="917"/>
      <c r="C68" s="917"/>
      <c r="D68" s="917"/>
      <c r="E68" s="917"/>
      <c r="F68" s="1563"/>
      <c r="G68" s="1563"/>
      <c r="H68" s="288"/>
      <c r="N68" s="1293"/>
      <c r="P68" s="1293"/>
      <c r="Q68" s="1563"/>
      <c r="R68" s="1563"/>
      <c r="S68" s="1293"/>
      <c r="T68" s="1293"/>
      <c r="U68" s="1293"/>
      <c r="V68" s="1293"/>
      <c r="W68" s="1563"/>
      <c r="X68" s="1293"/>
      <c r="Y68" s="1293"/>
      <c r="Z68" s="481"/>
      <c r="AA68" s="1293"/>
      <c r="AB68" s="1293"/>
      <c r="AC68" s="1293"/>
      <c r="AD68" s="1293"/>
      <c r="AE68" s="1293"/>
      <c r="AF68" s="1559"/>
      <c r="AG68" s="559"/>
      <c r="AH68" s="559"/>
      <c r="AI68" s="559"/>
      <c r="AJ68" s="559"/>
      <c r="AK68" s="1568">
        <v>11</v>
      </c>
    </row>
    <row r="69" spans="1:37" s="1568" customFormat="1" ht="11.25" customHeight="1">
      <c r="A69" s="917"/>
      <c r="B69" s="917"/>
      <c r="C69" s="917"/>
      <c r="D69" s="917"/>
      <c r="E69" s="917"/>
      <c r="F69" s="1563"/>
      <c r="G69" s="1563"/>
      <c r="H69" s="288"/>
      <c r="N69" s="1293"/>
      <c r="P69" s="1293"/>
      <c r="Q69" s="1563"/>
      <c r="R69" s="1563"/>
      <c r="S69" s="1293"/>
      <c r="T69" s="1293"/>
      <c r="U69" s="1293"/>
      <c r="V69" s="1293"/>
      <c r="W69" s="1563"/>
      <c r="X69" s="1293"/>
      <c r="Y69" s="1293"/>
      <c r="Z69" s="481"/>
      <c r="AA69" s="1293"/>
      <c r="AB69" s="1293"/>
      <c r="AC69" s="1293"/>
      <c r="AD69" s="1293"/>
      <c r="AE69" s="1293"/>
      <c r="AF69" s="1559"/>
      <c r="AG69" s="559"/>
      <c r="AH69" s="559"/>
      <c r="AI69" s="559"/>
      <c r="AJ69" s="559"/>
      <c r="AK69" s="1568">
        <v>11</v>
      </c>
    </row>
    <row r="70" spans="1:37" s="1568" customFormat="1" ht="11.25" customHeight="1">
      <c r="A70" s="917"/>
      <c r="B70" s="917"/>
      <c r="C70" s="917"/>
      <c r="D70" s="917"/>
      <c r="E70" s="917"/>
      <c r="F70" s="1563"/>
      <c r="G70" s="1563"/>
      <c r="H70" s="288"/>
      <c r="N70" s="1293"/>
      <c r="P70" s="1293"/>
      <c r="Q70" s="1563"/>
      <c r="R70" s="1563"/>
      <c r="S70" s="1293"/>
      <c r="T70" s="1293"/>
      <c r="U70" s="1293"/>
      <c r="V70" s="1293"/>
      <c r="W70" s="1563"/>
      <c r="X70" s="1293"/>
      <c r="Y70" s="1293"/>
      <c r="Z70" s="481"/>
      <c r="AA70" s="1293"/>
      <c r="AB70" s="1293"/>
      <c r="AC70" s="1293"/>
      <c r="AD70" s="1293"/>
      <c r="AE70" s="1293"/>
      <c r="AF70" s="1559"/>
      <c r="AG70" s="559"/>
      <c r="AH70" s="559"/>
      <c r="AI70" s="559"/>
      <c r="AJ70" s="559"/>
      <c r="AK70" s="1568">
        <v>11</v>
      </c>
    </row>
    <row r="71" spans="1:37" s="1568" customFormat="1" ht="11.25" customHeight="1">
      <c r="A71" s="917"/>
      <c r="B71" s="917"/>
      <c r="C71" s="917"/>
      <c r="D71" s="917"/>
      <c r="E71" s="917"/>
      <c r="F71" s="1563"/>
      <c r="G71" s="1563"/>
      <c r="H71" s="288"/>
      <c r="N71" s="1293"/>
      <c r="P71" s="1293"/>
      <c r="Q71" s="1563"/>
      <c r="R71" s="1563"/>
      <c r="S71" s="1293"/>
      <c r="T71" s="1293"/>
      <c r="U71" s="1293"/>
      <c r="V71" s="1293"/>
      <c r="W71" s="1563"/>
      <c r="X71" s="1293"/>
      <c r="Y71" s="1293"/>
      <c r="Z71" s="481"/>
      <c r="AA71" s="1293"/>
      <c r="AB71" s="1293"/>
      <c r="AC71" s="1293"/>
      <c r="AD71" s="1293"/>
      <c r="AE71" s="1293"/>
      <c r="AF71" s="1559"/>
      <c r="AG71" s="559"/>
      <c r="AH71" s="559"/>
      <c r="AI71" s="559"/>
      <c r="AJ71" s="559"/>
      <c r="AK71" s="1568">
        <v>11</v>
      </c>
    </row>
    <row r="72" spans="1:37" s="1568" customFormat="1" ht="11.25" customHeight="1">
      <c r="A72" s="917"/>
      <c r="B72" s="917"/>
      <c r="C72" s="917"/>
      <c r="D72" s="917"/>
      <c r="E72" s="917"/>
      <c r="F72" s="1563"/>
      <c r="G72" s="1563"/>
      <c r="H72" s="288"/>
      <c r="N72" s="1293"/>
      <c r="P72" s="1293"/>
      <c r="Q72" s="1563"/>
      <c r="R72" s="1563"/>
      <c r="S72" s="1293"/>
      <c r="T72" s="1293"/>
      <c r="U72" s="1293"/>
      <c r="V72" s="1293"/>
      <c r="W72" s="1563"/>
      <c r="X72" s="1293"/>
      <c r="Y72" s="1293"/>
      <c r="Z72" s="481"/>
      <c r="AA72" s="1293"/>
      <c r="AB72" s="1293"/>
      <c r="AC72" s="1293"/>
      <c r="AD72" s="1293"/>
      <c r="AE72" s="1293"/>
      <c r="AF72" s="1559"/>
      <c r="AG72" s="559"/>
      <c r="AH72" s="559"/>
      <c r="AI72" s="559"/>
      <c r="AJ72" s="559"/>
      <c r="AK72" s="1568">
        <v>11</v>
      </c>
    </row>
    <row r="73" spans="1:37" s="1568" customFormat="1" ht="11.25" customHeight="1">
      <c r="A73" s="917"/>
      <c r="B73" s="917"/>
      <c r="C73" s="917"/>
      <c r="D73" s="917"/>
      <c r="E73" s="917"/>
      <c r="F73" s="1563"/>
      <c r="G73" s="1563"/>
      <c r="H73" s="288"/>
      <c r="N73" s="1293"/>
      <c r="P73" s="1293"/>
      <c r="Q73" s="1563"/>
      <c r="R73" s="1563"/>
      <c r="S73" s="1293"/>
      <c r="T73" s="1293"/>
      <c r="U73" s="1293"/>
      <c r="V73" s="1293"/>
      <c r="W73" s="1563"/>
      <c r="X73" s="1293"/>
      <c r="Y73" s="1293"/>
      <c r="Z73" s="481"/>
      <c r="AA73" s="1293"/>
      <c r="AB73" s="1293"/>
      <c r="AC73" s="1293"/>
      <c r="AD73" s="1293"/>
      <c r="AE73" s="1293"/>
      <c r="AF73" s="1559"/>
      <c r="AG73" s="559"/>
      <c r="AH73" s="559"/>
      <c r="AI73" s="559"/>
      <c r="AJ73" s="559"/>
      <c r="AK73" s="1568">
        <v>11</v>
      </c>
    </row>
    <row r="74" spans="1:37" s="1568" customFormat="1" ht="11.25" customHeight="1">
      <c r="A74" s="917"/>
      <c r="B74" s="917"/>
      <c r="C74" s="917"/>
      <c r="D74" s="917"/>
      <c r="E74" s="917"/>
      <c r="F74" s="1563"/>
      <c r="G74" s="1563"/>
      <c r="H74" s="288"/>
      <c r="N74" s="1293"/>
      <c r="P74" s="1293"/>
      <c r="Q74" s="1563"/>
      <c r="R74" s="1563"/>
      <c r="S74" s="1293"/>
      <c r="T74" s="1293"/>
      <c r="U74" s="1293"/>
      <c r="V74" s="1293"/>
      <c r="W74" s="1563"/>
      <c r="X74" s="1293"/>
      <c r="Y74" s="1293"/>
      <c r="Z74" s="481"/>
      <c r="AA74" s="1293"/>
      <c r="AB74" s="1293"/>
      <c r="AC74" s="1293"/>
      <c r="AD74" s="1293"/>
      <c r="AE74" s="1293"/>
      <c r="AF74" s="1559"/>
      <c r="AG74" s="559"/>
      <c r="AH74" s="559"/>
      <c r="AI74" s="559"/>
      <c r="AJ74" s="559"/>
      <c r="AK74" s="1568">
        <v>11</v>
      </c>
    </row>
    <row r="75" spans="1:37" s="1568" customFormat="1" ht="11.25" customHeight="1">
      <c r="A75" s="917"/>
      <c r="B75" s="917"/>
      <c r="C75" s="917"/>
      <c r="D75" s="917"/>
      <c r="E75" s="917"/>
      <c r="F75" s="1563"/>
      <c r="G75" s="1563"/>
      <c r="H75" s="288"/>
      <c r="N75" s="1293"/>
      <c r="P75" s="1293"/>
      <c r="Q75" s="1563"/>
      <c r="R75" s="1563"/>
      <c r="S75" s="1293"/>
      <c r="T75" s="1293"/>
      <c r="U75" s="1293"/>
      <c r="V75" s="1293"/>
      <c r="W75" s="1563"/>
      <c r="X75" s="1293"/>
      <c r="Y75" s="1293"/>
      <c r="Z75" s="481"/>
      <c r="AA75" s="1293"/>
      <c r="AB75" s="1293"/>
      <c r="AC75" s="1293"/>
      <c r="AD75" s="1293"/>
      <c r="AE75" s="1293"/>
      <c r="AF75" s="1559"/>
      <c r="AG75" s="559"/>
      <c r="AH75" s="559"/>
      <c r="AI75" s="559"/>
      <c r="AJ75" s="559"/>
      <c r="AK75" s="1568">
        <v>11</v>
      </c>
    </row>
    <row r="76" spans="1:37" s="1568" customFormat="1" ht="11.25" customHeight="1">
      <c r="A76" s="917"/>
      <c r="B76" s="917"/>
      <c r="C76" s="917"/>
      <c r="D76" s="917"/>
      <c r="E76" s="917"/>
      <c r="F76" s="1563"/>
      <c r="G76" s="1563"/>
      <c r="H76" s="288"/>
      <c r="N76" s="1293"/>
      <c r="P76" s="1293"/>
      <c r="Q76" s="1563"/>
      <c r="R76" s="1563"/>
      <c r="S76" s="1293"/>
      <c r="T76" s="1293"/>
      <c r="U76" s="1293"/>
      <c r="V76" s="1293"/>
      <c r="W76" s="1563"/>
      <c r="X76" s="1293"/>
      <c r="Y76" s="1293"/>
      <c r="Z76" s="481"/>
      <c r="AA76" s="1293"/>
      <c r="AB76" s="1293"/>
      <c r="AC76" s="1293"/>
      <c r="AD76" s="1293"/>
      <c r="AE76" s="1293"/>
      <c r="AF76" s="1559"/>
      <c r="AG76" s="559"/>
      <c r="AH76" s="559"/>
      <c r="AI76" s="559"/>
      <c r="AJ76" s="559"/>
      <c r="AK76" s="1568">
        <v>11</v>
      </c>
    </row>
    <row r="77" spans="1:37" s="1568" customFormat="1" ht="11.25" customHeight="1">
      <c r="A77" s="917"/>
      <c r="B77" s="917"/>
      <c r="C77" s="917"/>
      <c r="D77" s="917"/>
      <c r="E77" s="917"/>
      <c r="F77" s="1563"/>
      <c r="G77" s="1563"/>
      <c r="H77" s="288"/>
      <c r="N77" s="1293"/>
      <c r="P77" s="1293"/>
      <c r="Q77" s="1563"/>
      <c r="R77" s="1563"/>
      <c r="S77" s="1293"/>
      <c r="T77" s="1293"/>
      <c r="U77" s="1293"/>
      <c r="V77" s="1293"/>
      <c r="W77" s="1563"/>
      <c r="X77" s="1293"/>
      <c r="Y77" s="1293"/>
      <c r="Z77" s="481"/>
      <c r="AA77" s="1293"/>
      <c r="AB77" s="1293"/>
      <c r="AC77" s="1293"/>
      <c r="AD77" s="1293"/>
      <c r="AE77" s="1293"/>
      <c r="AF77" s="1559"/>
      <c r="AG77" s="559"/>
      <c r="AH77" s="559"/>
      <c r="AI77" s="559"/>
      <c r="AJ77" s="559"/>
      <c r="AK77" s="1568">
        <v>11</v>
      </c>
    </row>
    <row r="78" spans="1:37" s="1568" customFormat="1" ht="11.25" customHeight="1">
      <c r="A78" s="917"/>
      <c r="B78" s="917"/>
      <c r="C78" s="917"/>
      <c r="D78" s="917"/>
      <c r="E78" s="917"/>
      <c r="F78" s="1563"/>
      <c r="G78" s="1563"/>
      <c r="H78" s="288"/>
      <c r="N78" s="1293"/>
      <c r="P78" s="1293"/>
      <c r="Q78" s="1563"/>
      <c r="R78" s="1563"/>
      <c r="S78" s="1293"/>
      <c r="T78" s="1293"/>
      <c r="U78" s="1293"/>
      <c r="V78" s="1293"/>
      <c r="W78" s="1563"/>
      <c r="X78" s="1293"/>
      <c r="Y78" s="1293"/>
      <c r="Z78" s="481"/>
      <c r="AA78" s="1293"/>
      <c r="AB78" s="1293"/>
      <c r="AC78" s="1293"/>
      <c r="AD78" s="1293"/>
      <c r="AE78" s="1293"/>
      <c r="AF78" s="1559"/>
      <c r="AG78" s="559"/>
      <c r="AH78" s="559"/>
      <c r="AI78" s="559"/>
      <c r="AJ78" s="559"/>
      <c r="AK78" s="1568">
        <v>11</v>
      </c>
    </row>
    <row r="79" spans="1:37" s="1568" customFormat="1" ht="11.25" customHeight="1">
      <c r="A79" s="917"/>
      <c r="B79" s="917"/>
      <c r="C79" s="917"/>
      <c r="D79" s="917"/>
      <c r="E79" s="917"/>
      <c r="F79" s="1563"/>
      <c r="G79" s="1563"/>
      <c r="H79" s="288"/>
      <c r="N79" s="1293"/>
      <c r="P79" s="1293"/>
      <c r="Q79" s="1563"/>
      <c r="R79" s="1563"/>
      <c r="S79" s="1293"/>
      <c r="T79" s="1293"/>
      <c r="U79" s="1293"/>
      <c r="V79" s="1293"/>
      <c r="W79" s="1563"/>
      <c r="X79" s="1293"/>
      <c r="Y79" s="1293"/>
      <c r="Z79" s="481"/>
      <c r="AA79" s="1293"/>
      <c r="AB79" s="1293"/>
      <c r="AC79" s="1293"/>
      <c r="AD79" s="1293"/>
      <c r="AE79" s="1293"/>
      <c r="AF79" s="1559"/>
      <c r="AG79" s="559"/>
      <c r="AH79" s="559"/>
      <c r="AI79" s="559"/>
      <c r="AJ79" s="559"/>
      <c r="AK79" s="1568">
        <v>11</v>
      </c>
    </row>
    <row r="80" spans="1:37" s="1568" customFormat="1" ht="11.25" customHeight="1">
      <c r="A80" s="917"/>
      <c r="B80" s="917"/>
      <c r="C80" s="917"/>
      <c r="D80" s="917"/>
      <c r="E80" s="917"/>
      <c r="F80" s="1563"/>
      <c r="G80" s="1563"/>
      <c r="H80" s="288"/>
      <c r="N80" s="1293"/>
      <c r="P80" s="1293"/>
      <c r="Q80" s="1563"/>
      <c r="R80" s="1563"/>
      <c r="S80" s="1293"/>
      <c r="T80" s="1293"/>
      <c r="U80" s="1293"/>
      <c r="V80" s="1293"/>
      <c r="W80" s="1563"/>
      <c r="X80" s="1293"/>
      <c r="Y80" s="1293"/>
      <c r="Z80" s="481"/>
      <c r="AA80" s="1293"/>
      <c r="AB80" s="1293"/>
      <c r="AC80" s="1293"/>
      <c r="AD80" s="1293"/>
      <c r="AE80" s="1293"/>
      <c r="AF80" s="1559"/>
      <c r="AG80" s="559"/>
      <c r="AH80" s="559"/>
      <c r="AI80" s="559"/>
      <c r="AJ80" s="559"/>
      <c r="AK80" s="1568">
        <v>11</v>
      </c>
    </row>
    <row r="81" spans="1:37" s="1568" customFormat="1" ht="11.25" customHeight="1">
      <c r="A81" s="917"/>
      <c r="B81" s="917"/>
      <c r="C81" s="917"/>
      <c r="D81" s="917"/>
      <c r="E81" s="917"/>
      <c r="F81" s="1563"/>
      <c r="G81" s="1563"/>
      <c r="H81" s="288"/>
      <c r="N81" s="1293"/>
      <c r="P81" s="1293"/>
      <c r="Q81" s="1563"/>
      <c r="R81" s="1563"/>
      <c r="S81" s="1293"/>
      <c r="T81" s="1293"/>
      <c r="U81" s="1293"/>
      <c r="V81" s="1293"/>
      <c r="W81" s="1563"/>
      <c r="X81" s="1293"/>
      <c r="Y81" s="1293"/>
      <c r="Z81" s="481"/>
      <c r="AA81" s="1293"/>
      <c r="AB81" s="1293"/>
      <c r="AC81" s="1293"/>
      <c r="AD81" s="1293"/>
      <c r="AE81" s="1293"/>
      <c r="AF81" s="1559"/>
      <c r="AG81" s="559"/>
      <c r="AH81" s="559"/>
      <c r="AI81" s="559"/>
      <c r="AJ81" s="559"/>
      <c r="AK81" s="1568">
        <v>11</v>
      </c>
    </row>
    <row r="82" spans="1:37" s="1568" customFormat="1" ht="11.25" customHeight="1">
      <c r="A82" s="917"/>
      <c r="B82" s="917"/>
      <c r="C82" s="917"/>
      <c r="D82" s="917"/>
      <c r="E82" s="917"/>
      <c r="F82" s="1563"/>
      <c r="G82" s="1563"/>
      <c r="H82" s="288"/>
      <c r="N82" s="1293"/>
      <c r="P82" s="1293"/>
      <c r="Q82" s="1563"/>
      <c r="R82" s="1563"/>
      <c r="S82" s="1293"/>
      <c r="T82" s="1293"/>
      <c r="U82" s="1293"/>
      <c r="V82" s="1293"/>
      <c r="W82" s="1563"/>
      <c r="X82" s="1293"/>
      <c r="Y82" s="1293"/>
      <c r="Z82" s="481"/>
      <c r="AA82" s="1293"/>
      <c r="AB82" s="1293"/>
      <c r="AC82" s="1293"/>
      <c r="AD82" s="1293"/>
      <c r="AE82" s="1293"/>
      <c r="AF82" s="1559"/>
      <c r="AG82" s="559"/>
      <c r="AH82" s="559"/>
      <c r="AI82" s="559"/>
      <c r="AJ82" s="559"/>
      <c r="AK82" s="1568">
        <v>11</v>
      </c>
    </row>
    <row r="83" spans="1:37" s="1568" customFormat="1" ht="11.25" customHeight="1">
      <c r="A83" s="917"/>
      <c r="B83" s="917"/>
      <c r="C83" s="917"/>
      <c r="D83" s="917"/>
      <c r="E83" s="917"/>
      <c r="F83" s="1563"/>
      <c r="G83" s="1563"/>
      <c r="H83" s="288"/>
      <c r="N83" s="1293"/>
      <c r="P83" s="1293"/>
      <c r="Q83" s="1563"/>
      <c r="R83" s="1563"/>
      <c r="S83" s="1293"/>
      <c r="T83" s="1293"/>
      <c r="U83" s="1293"/>
      <c r="V83" s="1293"/>
      <c r="W83" s="1563"/>
      <c r="X83" s="1293"/>
      <c r="Y83" s="1293"/>
      <c r="Z83" s="481"/>
      <c r="AA83" s="1293"/>
      <c r="AB83" s="1293"/>
      <c r="AC83" s="1293"/>
      <c r="AD83" s="1293"/>
      <c r="AE83" s="1293"/>
      <c r="AF83" s="1559"/>
      <c r="AG83" s="559"/>
      <c r="AH83" s="559"/>
      <c r="AI83" s="559"/>
      <c r="AJ83" s="559"/>
      <c r="AK83" s="1568">
        <v>11</v>
      </c>
    </row>
    <row r="84" spans="1:37" s="1568" customFormat="1" ht="11.25" customHeight="1">
      <c r="A84" s="917"/>
      <c r="B84" s="917"/>
      <c r="C84" s="917"/>
      <c r="D84" s="917"/>
      <c r="E84" s="917"/>
      <c r="F84" s="1563"/>
      <c r="G84" s="1563"/>
      <c r="H84" s="288"/>
      <c r="N84" s="1293"/>
      <c r="P84" s="1293"/>
      <c r="Q84" s="1563"/>
      <c r="R84" s="1563"/>
      <c r="S84" s="1293"/>
      <c r="T84" s="1293"/>
      <c r="U84" s="1293"/>
      <c r="V84" s="1293"/>
      <c r="W84" s="1563"/>
      <c r="X84" s="1293"/>
      <c r="Y84" s="1293"/>
      <c r="Z84" s="481"/>
      <c r="AA84" s="1293"/>
      <c r="AB84" s="1293"/>
      <c r="AC84" s="1293"/>
      <c r="AD84" s="1293"/>
      <c r="AE84" s="1293"/>
      <c r="AF84" s="1559"/>
      <c r="AG84" s="559"/>
      <c r="AH84" s="559"/>
      <c r="AI84" s="559"/>
      <c r="AJ84" s="559"/>
      <c r="AK84" s="1568">
        <v>11</v>
      </c>
    </row>
    <row r="85" spans="1:37" s="1568" customFormat="1" ht="11.25" customHeight="1">
      <c r="A85" s="917"/>
      <c r="B85" s="917"/>
      <c r="C85" s="917"/>
      <c r="D85" s="917"/>
      <c r="E85" s="917"/>
      <c r="F85" s="1563"/>
      <c r="G85" s="1563"/>
      <c r="H85" s="288"/>
      <c r="N85" s="1293"/>
      <c r="P85" s="1293"/>
      <c r="Q85" s="1563"/>
      <c r="R85" s="1563"/>
      <c r="S85" s="1293"/>
      <c r="T85" s="1293"/>
      <c r="U85" s="1293"/>
      <c r="V85" s="1293"/>
      <c r="W85" s="1563"/>
      <c r="X85" s="1293"/>
      <c r="Y85" s="1293"/>
      <c r="Z85" s="481"/>
      <c r="AA85" s="1293"/>
      <c r="AB85" s="1293"/>
      <c r="AC85" s="1293"/>
      <c r="AD85" s="1293"/>
      <c r="AE85" s="1293"/>
      <c r="AF85" s="1559"/>
      <c r="AG85" s="559"/>
      <c r="AH85" s="559"/>
      <c r="AI85" s="559"/>
      <c r="AJ85" s="559"/>
      <c r="AK85" s="1568">
        <v>11</v>
      </c>
    </row>
    <row r="86" spans="1:37" s="1568" customFormat="1" ht="11.25" customHeight="1">
      <c r="A86" s="917"/>
      <c r="B86" s="917"/>
      <c r="C86" s="917"/>
      <c r="D86" s="917"/>
      <c r="E86" s="917"/>
      <c r="F86" s="1563"/>
      <c r="G86" s="1563"/>
      <c r="H86" s="288"/>
      <c r="N86" s="1293"/>
      <c r="P86" s="1293"/>
      <c r="Q86" s="1563"/>
      <c r="R86" s="1563"/>
      <c r="S86" s="1293"/>
      <c r="T86" s="1293"/>
      <c r="U86" s="1293"/>
      <c r="V86" s="1293"/>
      <c r="W86" s="1563"/>
      <c r="X86" s="1293"/>
      <c r="Y86" s="1293"/>
      <c r="Z86" s="481"/>
      <c r="AA86" s="1293"/>
      <c r="AB86" s="1293"/>
      <c r="AC86" s="1293"/>
      <c r="AD86" s="1293"/>
      <c r="AE86" s="1293"/>
      <c r="AF86" s="1559"/>
      <c r="AG86" s="559"/>
      <c r="AH86" s="559"/>
      <c r="AI86" s="559"/>
      <c r="AJ86" s="559"/>
      <c r="AK86" s="1568">
        <v>11</v>
      </c>
    </row>
    <row r="87" spans="1:37" s="1568" customFormat="1" ht="11.25" customHeight="1">
      <c r="A87" s="917"/>
      <c r="B87" s="917"/>
      <c r="C87" s="917"/>
      <c r="D87" s="917"/>
      <c r="E87" s="917"/>
      <c r="F87" s="1563"/>
      <c r="G87" s="1563"/>
      <c r="H87" s="288"/>
      <c r="N87" s="1293"/>
      <c r="P87" s="1293"/>
      <c r="Q87" s="1563"/>
      <c r="R87" s="1563"/>
      <c r="S87" s="1293"/>
      <c r="T87" s="1293"/>
      <c r="U87" s="1293"/>
      <c r="V87" s="1293"/>
      <c r="W87" s="1563"/>
      <c r="X87" s="1293"/>
      <c r="Y87" s="1293"/>
      <c r="Z87" s="481"/>
      <c r="AA87" s="1293"/>
      <c r="AB87" s="1293"/>
      <c r="AC87" s="1293"/>
      <c r="AD87" s="1293"/>
      <c r="AE87" s="1293"/>
      <c r="AF87" s="1559"/>
      <c r="AG87" s="559"/>
      <c r="AH87" s="559"/>
      <c r="AI87" s="559"/>
      <c r="AJ87" s="559"/>
      <c r="AK87" s="1568">
        <v>11</v>
      </c>
    </row>
    <row r="88" spans="1:37" s="1568" customFormat="1" ht="11.25" customHeight="1">
      <c r="A88" s="917"/>
      <c r="B88" s="917"/>
      <c r="C88" s="917"/>
      <c r="D88" s="917"/>
      <c r="E88" s="917"/>
      <c r="F88" s="1563"/>
      <c r="G88" s="1563"/>
      <c r="H88" s="288"/>
      <c r="N88" s="1293"/>
      <c r="P88" s="1293"/>
      <c r="Q88" s="1563"/>
      <c r="R88" s="1563"/>
      <c r="S88" s="1293"/>
      <c r="T88" s="1293"/>
      <c r="U88" s="1293"/>
      <c r="V88" s="1293"/>
      <c r="W88" s="1563"/>
      <c r="X88" s="1293"/>
      <c r="Y88" s="1293"/>
      <c r="Z88" s="481"/>
      <c r="AA88" s="1293"/>
      <c r="AB88" s="1293"/>
      <c r="AC88" s="1293"/>
      <c r="AD88" s="1293"/>
      <c r="AE88" s="1293"/>
      <c r="AF88" s="1559"/>
      <c r="AG88" s="559"/>
      <c r="AH88" s="559"/>
      <c r="AI88" s="559"/>
      <c r="AJ88" s="559"/>
      <c r="AK88" s="1568">
        <v>11</v>
      </c>
    </row>
    <row r="89" spans="1:37" s="1568" customFormat="1" ht="11.25" customHeight="1">
      <c r="A89" s="917"/>
      <c r="B89" s="917"/>
      <c r="C89" s="917"/>
      <c r="D89" s="917"/>
      <c r="E89" s="917"/>
      <c r="F89" s="1563"/>
      <c r="G89" s="1563"/>
      <c r="H89" s="288"/>
      <c r="N89" s="1293"/>
      <c r="P89" s="1293"/>
      <c r="Q89" s="1563"/>
      <c r="R89" s="1563"/>
      <c r="S89" s="1293"/>
      <c r="T89" s="1293"/>
      <c r="U89" s="1293"/>
      <c r="V89" s="1293"/>
      <c r="W89" s="1563"/>
      <c r="X89" s="1293"/>
      <c r="Y89" s="1293"/>
      <c r="Z89" s="481"/>
      <c r="AA89" s="1293"/>
      <c r="AB89" s="1293"/>
      <c r="AC89" s="1293"/>
      <c r="AD89" s="1293"/>
      <c r="AE89" s="1293"/>
      <c r="AF89" s="1559"/>
      <c r="AG89" s="559"/>
      <c r="AH89" s="559"/>
      <c r="AI89" s="559"/>
      <c r="AJ89" s="559"/>
      <c r="AK89" s="1568">
        <v>11</v>
      </c>
    </row>
    <row r="90" spans="1:37" s="1568" customFormat="1" ht="11.25" customHeight="1">
      <c r="A90" s="917"/>
      <c r="B90" s="917"/>
      <c r="C90" s="917"/>
      <c r="D90" s="917"/>
      <c r="E90" s="917"/>
      <c r="F90" s="1563"/>
      <c r="G90" s="1563"/>
      <c r="H90" s="288"/>
      <c r="N90" s="1293"/>
      <c r="P90" s="1293"/>
      <c r="Q90" s="1563"/>
      <c r="R90" s="1563"/>
      <c r="S90" s="1293"/>
      <c r="T90" s="1293"/>
      <c r="U90" s="1293"/>
      <c r="V90" s="1293"/>
      <c r="W90" s="1563"/>
      <c r="X90" s="1293"/>
      <c r="Y90" s="1293"/>
      <c r="Z90" s="481"/>
      <c r="AA90" s="1293"/>
      <c r="AB90" s="1293"/>
      <c r="AC90" s="1293"/>
      <c r="AD90" s="1293"/>
      <c r="AE90" s="1293"/>
      <c r="AF90" s="1559"/>
      <c r="AG90" s="559"/>
      <c r="AH90" s="559"/>
      <c r="AI90" s="559"/>
      <c r="AJ90" s="559"/>
      <c r="AK90" s="1568">
        <v>11</v>
      </c>
    </row>
    <row r="91" spans="1:37" s="1568" customFormat="1" ht="11.25" customHeight="1">
      <c r="A91" s="917"/>
      <c r="B91" s="917"/>
      <c r="C91" s="917"/>
      <c r="D91" s="917"/>
      <c r="E91" s="917"/>
      <c r="F91" s="1563"/>
      <c r="G91" s="1563"/>
      <c r="H91" s="288"/>
      <c r="N91" s="1293"/>
      <c r="P91" s="1293"/>
      <c r="Q91" s="1563"/>
      <c r="R91" s="1563"/>
      <c r="S91" s="1293"/>
      <c r="T91" s="1293"/>
      <c r="U91" s="1293"/>
      <c r="V91" s="1293"/>
      <c r="W91" s="1563"/>
      <c r="X91" s="1293"/>
      <c r="Y91" s="1293"/>
      <c r="Z91" s="481"/>
      <c r="AA91" s="1293"/>
      <c r="AB91" s="1293"/>
      <c r="AC91" s="1293"/>
      <c r="AD91" s="1293"/>
      <c r="AE91" s="1293"/>
      <c r="AF91" s="1559"/>
      <c r="AG91" s="559"/>
      <c r="AH91" s="559"/>
      <c r="AI91" s="559"/>
      <c r="AJ91" s="559"/>
      <c r="AK91" s="1568">
        <v>11</v>
      </c>
    </row>
    <row r="92" spans="1:37" s="1568" customFormat="1" ht="11.25" customHeight="1">
      <c r="A92" s="917"/>
      <c r="B92" s="917"/>
      <c r="C92" s="917"/>
      <c r="D92" s="917"/>
      <c r="E92" s="917"/>
      <c r="F92" s="1563"/>
      <c r="G92" s="1563"/>
      <c r="H92" s="288"/>
      <c r="N92" s="1293"/>
      <c r="P92" s="1293"/>
      <c r="Q92" s="1563"/>
      <c r="R92" s="1563"/>
      <c r="S92" s="1293"/>
      <c r="T92" s="1293"/>
      <c r="U92" s="1293"/>
      <c r="V92" s="1293"/>
      <c r="W92" s="1563"/>
      <c r="X92" s="1293"/>
      <c r="Y92" s="1293"/>
      <c r="Z92" s="481"/>
      <c r="AA92" s="1293"/>
      <c r="AB92" s="1293"/>
      <c r="AC92" s="1293"/>
      <c r="AD92" s="1293"/>
      <c r="AE92" s="1293"/>
      <c r="AF92" s="1559"/>
      <c r="AG92" s="559"/>
      <c r="AH92" s="559"/>
      <c r="AI92" s="559"/>
      <c r="AJ92" s="559"/>
      <c r="AK92" s="1568">
        <v>11</v>
      </c>
    </row>
    <row r="93" spans="1:37" s="1568" customFormat="1" ht="11.25" customHeight="1">
      <c r="A93" s="917"/>
      <c r="B93" s="917"/>
      <c r="C93" s="917"/>
      <c r="D93" s="917"/>
      <c r="E93" s="917"/>
      <c r="F93" s="1563"/>
      <c r="G93" s="1563"/>
      <c r="H93" s="288"/>
      <c r="N93" s="1293"/>
      <c r="P93" s="1293"/>
      <c r="Q93" s="1563"/>
      <c r="R93" s="1563"/>
      <c r="S93" s="1293"/>
      <c r="T93" s="1293"/>
      <c r="U93" s="1293"/>
      <c r="V93" s="1293"/>
      <c r="W93" s="1563"/>
      <c r="X93" s="1293"/>
      <c r="Y93" s="1293"/>
      <c r="Z93" s="481"/>
      <c r="AA93" s="1293"/>
      <c r="AB93" s="1293"/>
      <c r="AC93" s="1293"/>
      <c r="AD93" s="1293"/>
      <c r="AE93" s="1293"/>
      <c r="AF93" s="1559"/>
      <c r="AG93" s="559"/>
      <c r="AH93" s="559"/>
      <c r="AI93" s="559"/>
      <c r="AJ93" s="559"/>
      <c r="AK93" s="1568">
        <v>11</v>
      </c>
    </row>
    <row r="94" spans="1:37" s="1568" customFormat="1" ht="11.25" customHeight="1">
      <c r="A94" s="917"/>
      <c r="B94" s="917"/>
      <c r="C94" s="917"/>
      <c r="D94" s="917"/>
      <c r="E94" s="917"/>
      <c r="F94" s="1563"/>
      <c r="G94" s="1563"/>
      <c r="H94" s="288"/>
      <c r="N94" s="1293"/>
      <c r="P94" s="1293"/>
      <c r="Q94" s="1563"/>
      <c r="R94" s="1563"/>
      <c r="S94" s="1293"/>
      <c r="T94" s="1293"/>
      <c r="U94" s="1293"/>
      <c r="V94" s="1293"/>
      <c r="W94" s="1563"/>
      <c r="X94" s="1293"/>
      <c r="Y94" s="1293"/>
      <c r="Z94" s="481"/>
      <c r="AA94" s="1293"/>
      <c r="AB94" s="1293"/>
      <c r="AC94" s="1293"/>
      <c r="AD94" s="1293"/>
      <c r="AE94" s="1293"/>
      <c r="AF94" s="1559"/>
      <c r="AG94" s="559"/>
      <c r="AH94" s="559"/>
      <c r="AI94" s="559"/>
      <c r="AJ94" s="559"/>
      <c r="AK94" s="1568">
        <v>11</v>
      </c>
    </row>
    <row r="95" spans="1:37" s="1568" customFormat="1" ht="11.25" customHeight="1">
      <c r="A95" s="917"/>
      <c r="B95" s="917"/>
      <c r="C95" s="917"/>
      <c r="D95" s="917"/>
      <c r="E95" s="917"/>
      <c r="F95" s="1563"/>
      <c r="G95" s="1563"/>
      <c r="H95" s="288"/>
      <c r="N95" s="1293"/>
      <c r="P95" s="1293"/>
      <c r="Q95" s="1563"/>
      <c r="R95" s="1563"/>
      <c r="S95" s="1293"/>
      <c r="T95" s="1293"/>
      <c r="U95" s="1293"/>
      <c r="V95" s="1293"/>
      <c r="W95" s="1563"/>
      <c r="X95" s="1293"/>
      <c r="Y95" s="1293"/>
      <c r="Z95" s="481"/>
      <c r="AA95" s="1293"/>
      <c r="AB95" s="1293"/>
      <c r="AC95" s="1293"/>
      <c r="AD95" s="1293"/>
      <c r="AE95" s="1293"/>
      <c r="AF95" s="1559"/>
      <c r="AG95" s="559"/>
      <c r="AH95" s="559"/>
      <c r="AI95" s="559"/>
      <c r="AJ95" s="559"/>
      <c r="AK95" s="1568">
        <v>11</v>
      </c>
    </row>
    <row r="96" spans="1:37" s="1568" customFormat="1" ht="11.25" customHeight="1">
      <c r="A96" s="917"/>
      <c r="B96" s="917"/>
      <c r="C96" s="917"/>
      <c r="D96" s="917"/>
      <c r="E96" s="917"/>
      <c r="F96" s="1563"/>
      <c r="G96" s="1563"/>
      <c r="H96" s="288"/>
      <c r="N96" s="1293"/>
      <c r="P96" s="1293"/>
      <c r="Q96" s="1563"/>
      <c r="R96" s="1563"/>
      <c r="S96" s="1293"/>
      <c r="T96" s="1293"/>
      <c r="U96" s="1293"/>
      <c r="V96" s="1293"/>
      <c r="W96" s="1563"/>
      <c r="X96" s="1293"/>
      <c r="Y96" s="1293"/>
      <c r="Z96" s="481"/>
      <c r="AA96" s="1293"/>
      <c r="AB96" s="1293"/>
      <c r="AC96" s="1293"/>
      <c r="AD96" s="1293"/>
      <c r="AE96" s="1293"/>
      <c r="AF96" s="1559"/>
      <c r="AG96" s="559"/>
      <c r="AH96" s="559"/>
      <c r="AI96" s="559"/>
      <c r="AJ96" s="559"/>
      <c r="AK96" s="1568">
        <v>11</v>
      </c>
    </row>
    <row r="97" spans="1:37" s="1568" customFormat="1" ht="11.25" customHeight="1">
      <c r="A97" s="917"/>
      <c r="B97" s="917"/>
      <c r="C97" s="917"/>
      <c r="D97" s="917"/>
      <c r="E97" s="917"/>
      <c r="F97" s="1563"/>
      <c r="G97" s="1563"/>
      <c r="H97" s="288"/>
      <c r="N97" s="1293"/>
      <c r="P97" s="1293"/>
      <c r="Q97" s="1563"/>
      <c r="R97" s="1563"/>
      <c r="S97" s="1293"/>
      <c r="T97" s="1293"/>
      <c r="U97" s="1293"/>
      <c r="V97" s="1293"/>
      <c r="W97" s="1563"/>
      <c r="X97" s="1293"/>
      <c r="Y97" s="1293"/>
      <c r="Z97" s="481"/>
      <c r="AA97" s="1293"/>
      <c r="AB97" s="1293"/>
      <c r="AC97" s="1293"/>
      <c r="AD97" s="1293"/>
      <c r="AE97" s="1293"/>
      <c r="AF97" s="1559"/>
      <c r="AG97" s="559"/>
      <c r="AH97" s="559"/>
      <c r="AI97" s="559"/>
      <c r="AJ97" s="559"/>
      <c r="AK97" s="1568">
        <v>11</v>
      </c>
    </row>
    <row r="98" spans="1:37" s="1568" customFormat="1" ht="11.25" customHeight="1">
      <c r="A98" s="917"/>
      <c r="B98" s="917"/>
      <c r="C98" s="917"/>
      <c r="D98" s="917"/>
      <c r="E98" s="917"/>
      <c r="F98" s="1563"/>
      <c r="G98" s="1563"/>
      <c r="H98" s="288"/>
      <c r="N98" s="1293"/>
      <c r="P98" s="1293"/>
      <c r="Q98" s="1563"/>
      <c r="R98" s="1563"/>
      <c r="S98" s="1293"/>
      <c r="T98" s="1293"/>
      <c r="U98" s="1293"/>
      <c r="V98" s="1293"/>
      <c r="W98" s="1563"/>
      <c r="X98" s="1293"/>
      <c r="Y98" s="1293"/>
      <c r="Z98" s="481"/>
      <c r="AA98" s="1293"/>
      <c r="AB98" s="1293"/>
      <c r="AC98" s="1293"/>
      <c r="AD98" s="1293"/>
      <c r="AE98" s="1293"/>
      <c r="AF98" s="1559"/>
      <c r="AG98" s="559"/>
      <c r="AH98" s="559"/>
      <c r="AI98" s="559"/>
      <c r="AJ98" s="559"/>
      <c r="AK98" s="1568">
        <v>11</v>
      </c>
    </row>
    <row r="99" spans="1:37" s="1568" customFormat="1" ht="11.25" customHeight="1">
      <c r="A99" s="917"/>
      <c r="B99" s="917"/>
      <c r="C99" s="917"/>
      <c r="D99" s="917"/>
      <c r="E99" s="917"/>
      <c r="F99" s="1563"/>
      <c r="G99" s="1563"/>
      <c r="H99" s="288"/>
      <c r="N99" s="1293"/>
      <c r="P99" s="1293"/>
      <c r="Q99" s="1563"/>
      <c r="R99" s="1563"/>
      <c r="S99" s="1293"/>
      <c r="T99" s="1293"/>
      <c r="U99" s="1293"/>
      <c r="V99" s="1293"/>
      <c r="W99" s="1563"/>
      <c r="X99" s="1293"/>
      <c r="Y99" s="1293"/>
      <c r="Z99" s="481"/>
      <c r="AA99" s="1293"/>
      <c r="AB99" s="1293"/>
      <c r="AC99" s="1293"/>
      <c r="AD99" s="1293"/>
      <c r="AE99" s="1293"/>
      <c r="AF99" s="1559"/>
      <c r="AG99" s="559"/>
      <c r="AH99" s="559"/>
      <c r="AI99" s="559"/>
      <c r="AJ99" s="559"/>
      <c r="AK99" s="1568">
        <v>11</v>
      </c>
    </row>
    <row r="100" spans="1:37" s="1568" customFormat="1" ht="11.25" customHeight="1">
      <c r="A100" s="917"/>
      <c r="B100" s="917"/>
      <c r="C100" s="917"/>
      <c r="D100" s="917"/>
      <c r="E100" s="917"/>
      <c r="F100" s="1563"/>
      <c r="G100" s="1563"/>
      <c r="H100" s="288"/>
      <c r="N100" s="1293"/>
      <c r="P100" s="1293"/>
      <c r="Q100" s="1563"/>
      <c r="R100" s="1563"/>
      <c r="S100" s="1293"/>
      <c r="T100" s="1293"/>
      <c r="U100" s="1293"/>
      <c r="V100" s="1293"/>
      <c r="W100" s="1563"/>
      <c r="X100" s="1293"/>
      <c r="Y100" s="1293"/>
      <c r="Z100" s="481"/>
      <c r="AA100" s="1293"/>
      <c r="AB100" s="1293"/>
      <c r="AC100" s="1293"/>
      <c r="AD100" s="1293"/>
      <c r="AE100" s="1293"/>
      <c r="AF100" s="1559"/>
      <c r="AG100" s="559"/>
      <c r="AH100" s="559"/>
      <c r="AI100" s="559"/>
      <c r="AJ100" s="559"/>
      <c r="AK100" s="1568">
        <v>11</v>
      </c>
    </row>
    <row r="101" spans="1:37" s="1568" customFormat="1" ht="11.25" customHeight="1">
      <c r="A101" s="917"/>
      <c r="B101" s="917"/>
      <c r="C101" s="917"/>
      <c r="D101" s="917"/>
      <c r="E101" s="917"/>
      <c r="F101" s="1563"/>
      <c r="G101" s="1563"/>
      <c r="H101" s="288"/>
      <c r="N101" s="1293"/>
      <c r="P101" s="1293"/>
      <c r="Q101" s="1563"/>
      <c r="R101" s="1563"/>
      <c r="S101" s="1293"/>
      <c r="T101" s="1293"/>
      <c r="U101" s="1293"/>
      <c r="V101" s="1293"/>
      <c r="W101" s="1563"/>
      <c r="X101" s="1293"/>
      <c r="Y101" s="1293"/>
      <c r="Z101" s="481"/>
      <c r="AA101" s="1293"/>
      <c r="AB101" s="1293"/>
      <c r="AC101" s="1293"/>
      <c r="AD101" s="1293"/>
      <c r="AE101" s="1293"/>
      <c r="AF101" s="1559"/>
      <c r="AG101" s="559"/>
      <c r="AH101" s="559"/>
      <c r="AI101" s="559"/>
      <c r="AJ101" s="559"/>
      <c r="AK101" s="1568">
        <v>11</v>
      </c>
    </row>
    <row r="102" spans="1:37" s="1568" customFormat="1" ht="11.25" customHeight="1">
      <c r="A102" s="917"/>
      <c r="B102" s="917"/>
      <c r="C102" s="917"/>
      <c r="D102" s="917"/>
      <c r="E102" s="917"/>
      <c r="F102" s="1563"/>
      <c r="G102" s="1563"/>
      <c r="H102" s="288"/>
      <c r="N102" s="1293"/>
      <c r="P102" s="1293"/>
      <c r="Q102" s="1563"/>
      <c r="R102" s="1563"/>
      <c r="S102" s="1293"/>
      <c r="T102" s="1293"/>
      <c r="U102" s="1293"/>
      <c r="V102" s="1293"/>
      <c r="W102" s="1563"/>
      <c r="X102" s="1293"/>
      <c r="Y102" s="1293"/>
      <c r="Z102" s="481"/>
      <c r="AA102" s="1293"/>
      <c r="AB102" s="1293"/>
      <c r="AC102" s="1293"/>
      <c r="AD102" s="1293"/>
      <c r="AE102" s="1293"/>
      <c r="AF102" s="1559"/>
      <c r="AG102" s="559"/>
      <c r="AH102" s="559"/>
      <c r="AI102" s="559"/>
      <c r="AJ102" s="559"/>
      <c r="AK102" s="1568">
        <v>11</v>
      </c>
    </row>
    <row r="103" spans="1:37" s="1568" customFormat="1" ht="11.25" customHeight="1">
      <c r="A103" s="917"/>
      <c r="B103" s="917"/>
      <c r="C103" s="917"/>
      <c r="D103" s="917"/>
      <c r="E103" s="917"/>
      <c r="F103" s="1563"/>
      <c r="G103" s="1563"/>
      <c r="H103" s="288"/>
      <c r="N103" s="1293"/>
      <c r="P103" s="1293"/>
      <c r="Q103" s="1563"/>
      <c r="R103" s="1563"/>
      <c r="S103" s="1293"/>
      <c r="T103" s="1293"/>
      <c r="U103" s="1293"/>
      <c r="V103" s="1293"/>
      <c r="W103" s="1563"/>
      <c r="X103" s="1293"/>
      <c r="Y103" s="1293"/>
      <c r="Z103" s="481"/>
      <c r="AA103" s="1293"/>
      <c r="AB103" s="1293"/>
      <c r="AC103" s="1293"/>
      <c r="AD103" s="1293"/>
      <c r="AE103" s="1293"/>
      <c r="AF103" s="1559"/>
      <c r="AG103" s="559"/>
      <c r="AH103" s="559"/>
      <c r="AI103" s="559"/>
      <c r="AJ103" s="559"/>
      <c r="AK103" s="1568">
        <v>11</v>
      </c>
    </row>
    <row r="104" spans="1:37" s="1568" customFormat="1" ht="11.25" customHeight="1">
      <c r="A104" s="917"/>
      <c r="B104" s="917"/>
      <c r="C104" s="917"/>
      <c r="D104" s="917"/>
      <c r="E104" s="917"/>
      <c r="F104" s="1563"/>
      <c r="G104" s="1563"/>
      <c r="H104" s="288"/>
      <c r="N104" s="1293"/>
      <c r="P104" s="1293"/>
      <c r="Q104" s="1563"/>
      <c r="R104" s="1563"/>
      <c r="S104" s="1293"/>
      <c r="T104" s="1293"/>
      <c r="U104" s="1293"/>
      <c r="V104" s="1293"/>
      <c r="W104" s="1563"/>
      <c r="X104" s="1293"/>
      <c r="Y104" s="1293"/>
      <c r="Z104" s="481"/>
      <c r="AA104" s="1293"/>
      <c r="AB104" s="1293"/>
      <c r="AC104" s="1293"/>
      <c r="AD104" s="1293"/>
      <c r="AE104" s="1293"/>
      <c r="AF104" s="1559"/>
      <c r="AG104" s="559"/>
      <c r="AH104" s="559"/>
      <c r="AI104" s="559"/>
      <c r="AJ104" s="559"/>
      <c r="AK104" s="1568">
        <v>11</v>
      </c>
    </row>
    <row r="105" spans="1:37" s="1568" customFormat="1" ht="11.25" customHeight="1">
      <c r="A105" s="917"/>
      <c r="B105" s="917"/>
      <c r="C105" s="917"/>
      <c r="D105" s="917"/>
      <c r="E105" s="917"/>
      <c r="F105" s="1563"/>
      <c r="G105" s="1563"/>
      <c r="H105" s="288"/>
      <c r="N105" s="1293"/>
      <c r="P105" s="1293"/>
      <c r="Q105" s="1563"/>
      <c r="R105" s="1563"/>
      <c r="S105" s="1293"/>
      <c r="T105" s="1293"/>
      <c r="U105" s="1293"/>
      <c r="V105" s="1293"/>
      <c r="W105" s="1563"/>
      <c r="X105" s="1293"/>
      <c r="Y105" s="1293"/>
      <c r="Z105" s="481"/>
      <c r="AA105" s="1293"/>
      <c r="AB105" s="1293"/>
      <c r="AC105" s="1293"/>
      <c r="AD105" s="1293"/>
      <c r="AE105" s="1293"/>
      <c r="AF105" s="1559"/>
      <c r="AG105" s="559"/>
      <c r="AH105" s="559"/>
      <c r="AI105" s="559"/>
      <c r="AJ105" s="559"/>
      <c r="AK105" s="1568">
        <v>11</v>
      </c>
    </row>
    <row r="106" spans="1:37" s="1568" customFormat="1" ht="11.25" customHeight="1">
      <c r="A106" s="917"/>
      <c r="B106" s="917"/>
      <c r="C106" s="917"/>
      <c r="D106" s="917"/>
      <c r="E106" s="917"/>
      <c r="F106" s="1563"/>
      <c r="G106" s="1563"/>
      <c r="H106" s="288"/>
      <c r="N106" s="1293"/>
      <c r="P106" s="1293"/>
      <c r="Q106" s="1563"/>
      <c r="R106" s="1563"/>
      <c r="S106" s="1293"/>
      <c r="T106" s="1293"/>
      <c r="U106" s="1293"/>
      <c r="V106" s="1293"/>
      <c r="W106" s="1563"/>
      <c r="X106" s="1293"/>
      <c r="Y106" s="1293"/>
      <c r="Z106" s="481"/>
      <c r="AA106" s="1293"/>
      <c r="AB106" s="1293"/>
      <c r="AC106" s="1293"/>
      <c r="AD106" s="1293"/>
      <c r="AE106" s="1293"/>
      <c r="AF106" s="1559"/>
      <c r="AG106" s="559"/>
      <c r="AH106" s="559"/>
      <c r="AI106" s="559"/>
      <c r="AJ106" s="559"/>
      <c r="AK106" s="1568">
        <v>11</v>
      </c>
    </row>
    <row r="107" spans="1:37" s="1568" customFormat="1" ht="11.25" customHeight="1">
      <c r="A107" s="917"/>
      <c r="B107" s="917"/>
      <c r="C107" s="917"/>
      <c r="D107" s="917"/>
      <c r="E107" s="917"/>
      <c r="F107" s="1563"/>
      <c r="G107" s="1563"/>
      <c r="H107" s="288"/>
      <c r="N107" s="1293"/>
      <c r="P107" s="1293"/>
      <c r="Q107" s="1563"/>
      <c r="R107" s="1563"/>
      <c r="S107" s="1293"/>
      <c r="T107" s="1293"/>
      <c r="U107" s="1293"/>
      <c r="V107" s="1293"/>
      <c r="W107" s="1563"/>
      <c r="X107" s="1293"/>
      <c r="Y107" s="1293"/>
      <c r="Z107" s="481"/>
      <c r="AA107" s="1293"/>
      <c r="AB107" s="1293"/>
      <c r="AC107" s="1293"/>
      <c r="AD107" s="1293"/>
      <c r="AE107" s="1293"/>
      <c r="AF107" s="1559"/>
      <c r="AG107" s="559"/>
      <c r="AH107" s="559"/>
      <c r="AI107" s="559"/>
      <c r="AJ107" s="559"/>
      <c r="AK107" s="1568">
        <v>11</v>
      </c>
    </row>
    <row r="108" spans="1:37" s="1568" customFormat="1" ht="11.25" customHeight="1">
      <c r="A108" s="917"/>
      <c r="B108" s="917"/>
      <c r="C108" s="917"/>
      <c r="D108" s="917"/>
      <c r="E108" s="917"/>
      <c r="F108" s="1563"/>
      <c r="G108" s="1563"/>
      <c r="H108" s="288"/>
      <c r="N108" s="1293"/>
      <c r="P108" s="1293"/>
      <c r="Q108" s="1563"/>
      <c r="R108" s="1563"/>
      <c r="S108" s="1293"/>
      <c r="T108" s="1293"/>
      <c r="U108" s="1293"/>
      <c r="V108" s="1293"/>
      <c r="W108" s="1563"/>
      <c r="X108" s="1293"/>
      <c r="Y108" s="1293"/>
      <c r="Z108" s="481"/>
      <c r="AA108" s="1293"/>
      <c r="AB108" s="1293"/>
      <c r="AC108" s="1293"/>
      <c r="AD108" s="1293"/>
      <c r="AE108" s="1293"/>
      <c r="AF108" s="1559"/>
      <c r="AG108" s="559"/>
      <c r="AH108" s="559"/>
      <c r="AI108" s="559"/>
      <c r="AJ108" s="559"/>
      <c r="AK108" s="1568">
        <v>11</v>
      </c>
    </row>
    <row r="109" spans="1:37" s="1568" customFormat="1" ht="11.25" customHeight="1">
      <c r="A109" s="917"/>
      <c r="B109" s="917"/>
      <c r="C109" s="917"/>
      <c r="D109" s="917"/>
      <c r="E109" s="917"/>
      <c r="F109" s="1563"/>
      <c r="G109" s="1563"/>
      <c r="H109" s="288"/>
      <c r="N109" s="1293"/>
      <c r="P109" s="1293"/>
      <c r="Q109" s="1563"/>
      <c r="R109" s="1563"/>
      <c r="S109" s="1293"/>
      <c r="T109" s="1293"/>
      <c r="U109" s="1293"/>
      <c r="V109" s="1293"/>
      <c r="W109" s="1563"/>
      <c r="X109" s="1293"/>
      <c r="Y109" s="1293"/>
      <c r="Z109" s="481"/>
      <c r="AA109" s="1293"/>
      <c r="AB109" s="1293"/>
      <c r="AC109" s="1293"/>
      <c r="AD109" s="1293"/>
      <c r="AE109" s="1293"/>
      <c r="AF109" s="1559"/>
      <c r="AG109" s="559"/>
      <c r="AH109" s="559"/>
      <c r="AI109" s="559"/>
      <c r="AJ109" s="559"/>
      <c r="AK109" s="1568">
        <v>11</v>
      </c>
    </row>
    <row r="110" spans="1:37" s="1568" customFormat="1" ht="11.25" customHeight="1">
      <c r="A110" s="917"/>
      <c r="B110" s="917"/>
      <c r="C110" s="917"/>
      <c r="D110" s="917"/>
      <c r="E110" s="917"/>
      <c r="F110" s="1563"/>
      <c r="G110" s="1563"/>
      <c r="H110" s="288"/>
      <c r="N110" s="1293"/>
      <c r="P110" s="1293"/>
      <c r="Q110" s="1563"/>
      <c r="R110" s="1563"/>
      <c r="S110" s="1293"/>
      <c r="T110" s="1293"/>
      <c r="U110" s="1293"/>
      <c r="V110" s="1293"/>
      <c r="W110" s="1563"/>
      <c r="X110" s="1293"/>
      <c r="Y110" s="1293"/>
      <c r="Z110" s="481"/>
      <c r="AA110" s="1293"/>
      <c r="AB110" s="1293"/>
      <c r="AC110" s="1293"/>
      <c r="AD110" s="1293"/>
      <c r="AE110" s="1293"/>
      <c r="AF110" s="1559"/>
      <c r="AG110" s="559"/>
      <c r="AH110" s="559"/>
      <c r="AI110" s="559"/>
      <c r="AJ110" s="559"/>
      <c r="AK110" s="1568">
        <v>11</v>
      </c>
    </row>
    <row r="111" spans="1:37" s="1568" customFormat="1" ht="11.25" customHeight="1">
      <c r="A111" s="917"/>
      <c r="B111" s="917"/>
      <c r="C111" s="917"/>
      <c r="D111" s="917"/>
      <c r="E111" s="917"/>
      <c r="F111" s="1563"/>
      <c r="G111" s="1563"/>
      <c r="H111" s="288"/>
      <c r="N111" s="1293"/>
      <c r="P111" s="1293"/>
      <c r="Q111" s="1563"/>
      <c r="R111" s="1563"/>
      <c r="S111" s="1293"/>
      <c r="T111" s="1293"/>
      <c r="U111" s="1293"/>
      <c r="V111" s="1293"/>
      <c r="W111" s="1563"/>
      <c r="X111" s="1293"/>
      <c r="Y111" s="1293"/>
      <c r="Z111" s="481"/>
      <c r="AA111" s="1293"/>
      <c r="AB111" s="1293"/>
      <c r="AC111" s="1293"/>
      <c r="AD111" s="1293"/>
      <c r="AE111" s="1293"/>
      <c r="AF111" s="1559"/>
      <c r="AG111" s="559"/>
      <c r="AH111" s="559"/>
      <c r="AI111" s="559"/>
      <c r="AJ111" s="559"/>
      <c r="AK111" s="1568">
        <v>11</v>
      </c>
    </row>
    <row r="112" spans="1:37" s="1568" customFormat="1" ht="11.25" customHeight="1">
      <c r="A112" s="917"/>
      <c r="B112" s="917"/>
      <c r="C112" s="917"/>
      <c r="D112" s="917"/>
      <c r="E112" s="917"/>
      <c r="F112" s="1563"/>
      <c r="G112" s="1563"/>
      <c r="H112" s="288"/>
      <c r="N112" s="1293"/>
      <c r="P112" s="1293"/>
      <c r="Q112" s="1563"/>
      <c r="R112" s="1563"/>
      <c r="S112" s="1293"/>
      <c r="T112" s="1293"/>
      <c r="U112" s="1293"/>
      <c r="V112" s="1293"/>
      <c r="W112" s="1563"/>
      <c r="X112" s="1293"/>
      <c r="Y112" s="1293"/>
      <c r="Z112" s="481"/>
      <c r="AA112" s="1293"/>
      <c r="AB112" s="1293"/>
      <c r="AC112" s="1293"/>
      <c r="AD112" s="1293"/>
      <c r="AE112" s="1293"/>
      <c r="AF112" s="1559"/>
      <c r="AG112" s="559"/>
      <c r="AH112" s="559"/>
      <c r="AI112" s="559"/>
      <c r="AJ112" s="559"/>
      <c r="AK112" s="1568">
        <v>11</v>
      </c>
    </row>
    <row r="113" spans="1:37" s="1568" customFormat="1" ht="11.25" customHeight="1">
      <c r="A113" s="917"/>
      <c r="B113" s="917"/>
      <c r="C113" s="917"/>
      <c r="D113" s="917"/>
      <c r="E113" s="917"/>
      <c r="F113" s="1563"/>
      <c r="G113" s="1563"/>
      <c r="H113" s="288"/>
      <c r="N113" s="1293"/>
      <c r="P113" s="1293"/>
      <c r="Q113" s="1563"/>
      <c r="R113" s="1563"/>
      <c r="S113" s="1293"/>
      <c r="T113" s="1293"/>
      <c r="U113" s="1293"/>
      <c r="V113" s="1293"/>
      <c r="W113" s="1563"/>
      <c r="X113" s="1293"/>
      <c r="Y113" s="1293"/>
      <c r="Z113" s="481"/>
      <c r="AA113" s="1293"/>
      <c r="AB113" s="1293"/>
      <c r="AC113" s="1293"/>
      <c r="AD113" s="1293"/>
      <c r="AE113" s="1293"/>
      <c r="AF113" s="1559"/>
      <c r="AG113" s="559"/>
      <c r="AH113" s="559"/>
      <c r="AI113" s="559"/>
      <c r="AJ113" s="559"/>
      <c r="AK113" s="1568">
        <v>11</v>
      </c>
    </row>
    <row r="114" spans="1:37" s="1568" customFormat="1" ht="11.25" customHeight="1">
      <c r="A114" s="917"/>
      <c r="B114" s="917"/>
      <c r="C114" s="917"/>
      <c r="D114" s="917"/>
      <c r="E114" s="917"/>
      <c r="F114" s="1563"/>
      <c r="G114" s="1563"/>
      <c r="H114" s="288"/>
      <c r="N114" s="1293"/>
      <c r="P114" s="1293"/>
      <c r="Q114" s="1563"/>
      <c r="R114" s="1563"/>
      <c r="S114" s="1293"/>
      <c r="T114" s="1293"/>
      <c r="U114" s="1293"/>
      <c r="V114" s="1293"/>
      <c r="W114" s="1563"/>
      <c r="X114" s="1293"/>
      <c r="Y114" s="1293"/>
      <c r="Z114" s="481"/>
      <c r="AA114" s="1293"/>
      <c r="AB114" s="1293"/>
      <c r="AC114" s="1293"/>
      <c r="AD114" s="1293"/>
      <c r="AE114" s="1293"/>
      <c r="AF114" s="1559"/>
      <c r="AG114" s="559"/>
      <c r="AH114" s="559"/>
      <c r="AI114" s="559"/>
      <c r="AJ114" s="559"/>
      <c r="AK114" s="1568">
        <v>11</v>
      </c>
    </row>
    <row r="115" spans="1:37" s="1568" customFormat="1" ht="11.25" customHeight="1">
      <c r="A115" s="917"/>
      <c r="B115" s="917"/>
      <c r="C115" s="917"/>
      <c r="D115" s="917"/>
      <c r="E115" s="917"/>
      <c r="F115" s="1563"/>
      <c r="G115" s="1563"/>
      <c r="H115" s="288"/>
      <c r="N115" s="1293"/>
      <c r="P115" s="1293"/>
      <c r="Q115" s="1563"/>
      <c r="R115" s="1563"/>
      <c r="S115" s="1293"/>
      <c r="T115" s="1293"/>
      <c r="U115" s="1293"/>
      <c r="V115" s="1293"/>
      <c r="W115" s="1563"/>
      <c r="X115" s="1293"/>
      <c r="Y115" s="1293"/>
      <c r="Z115" s="481"/>
      <c r="AA115" s="1293"/>
      <c r="AB115" s="1293"/>
      <c r="AC115" s="1293"/>
      <c r="AD115" s="1293"/>
      <c r="AE115" s="1293"/>
      <c r="AF115" s="1559"/>
      <c r="AG115" s="559"/>
      <c r="AH115" s="559"/>
      <c r="AI115" s="559"/>
      <c r="AJ115" s="559"/>
      <c r="AK115" s="1568">
        <v>11</v>
      </c>
    </row>
    <row r="116" spans="1:37" s="1568" customFormat="1" ht="11.25" customHeight="1">
      <c r="A116" s="917"/>
      <c r="B116" s="917"/>
      <c r="C116" s="917"/>
      <c r="D116" s="917"/>
      <c r="E116" s="917"/>
      <c r="F116" s="1563"/>
      <c r="G116" s="1563"/>
      <c r="H116" s="288"/>
      <c r="N116" s="1293"/>
      <c r="P116" s="1293"/>
      <c r="Q116" s="1563"/>
      <c r="R116" s="1563"/>
      <c r="S116" s="1293"/>
      <c r="T116" s="1293"/>
      <c r="U116" s="1293"/>
      <c r="V116" s="1293"/>
      <c r="W116" s="1563"/>
      <c r="X116" s="1293"/>
      <c r="Y116" s="1293"/>
      <c r="Z116" s="481"/>
      <c r="AA116" s="1293"/>
      <c r="AB116" s="1293"/>
      <c r="AC116" s="1293"/>
      <c r="AD116" s="1293"/>
      <c r="AE116" s="1293"/>
      <c r="AF116" s="1559"/>
      <c r="AG116" s="559"/>
      <c r="AH116" s="559"/>
      <c r="AI116" s="559"/>
      <c r="AJ116" s="559"/>
      <c r="AK116" s="1568">
        <v>11</v>
      </c>
    </row>
    <row r="117" spans="1:37" s="1568" customFormat="1" ht="11.25" customHeight="1">
      <c r="A117" s="917"/>
      <c r="B117" s="917"/>
      <c r="C117" s="917"/>
      <c r="D117" s="917"/>
      <c r="E117" s="917"/>
      <c r="F117" s="1563"/>
      <c r="G117" s="1563"/>
      <c r="H117" s="288"/>
      <c r="N117" s="1293"/>
      <c r="P117" s="1293"/>
      <c r="Q117" s="1563"/>
      <c r="R117" s="1563"/>
      <c r="S117" s="1293"/>
      <c r="T117" s="1293"/>
      <c r="U117" s="1293"/>
      <c r="V117" s="1293"/>
      <c r="W117" s="1563"/>
      <c r="X117" s="1293"/>
      <c r="Y117" s="1293"/>
      <c r="Z117" s="481"/>
      <c r="AA117" s="1293"/>
      <c r="AB117" s="1293"/>
      <c r="AC117" s="1293"/>
      <c r="AD117" s="1293"/>
      <c r="AE117" s="1293"/>
      <c r="AF117" s="1559"/>
      <c r="AG117" s="559"/>
      <c r="AH117" s="559"/>
      <c r="AI117" s="559"/>
      <c r="AJ117" s="559"/>
      <c r="AK117" s="1568">
        <v>11</v>
      </c>
    </row>
    <row r="118" spans="1:37" s="1568" customFormat="1" ht="11.25" customHeight="1">
      <c r="A118" s="917"/>
      <c r="B118" s="917"/>
      <c r="C118" s="917"/>
      <c r="D118" s="917"/>
      <c r="E118" s="917"/>
      <c r="F118" s="1563"/>
      <c r="G118" s="1563"/>
      <c r="H118" s="288"/>
      <c r="N118" s="1293"/>
      <c r="P118" s="1293"/>
      <c r="Q118" s="1563"/>
      <c r="R118" s="1563"/>
      <c r="S118" s="1293"/>
      <c r="T118" s="1293"/>
      <c r="U118" s="1293"/>
      <c r="V118" s="1293"/>
      <c r="W118" s="1563"/>
      <c r="X118" s="1293"/>
      <c r="Y118" s="1293"/>
      <c r="Z118" s="481"/>
      <c r="AA118" s="1293"/>
      <c r="AB118" s="1293"/>
      <c r="AC118" s="1293"/>
      <c r="AD118" s="1293"/>
      <c r="AE118" s="1293"/>
      <c r="AF118" s="1559"/>
      <c r="AG118" s="559"/>
      <c r="AH118" s="559"/>
      <c r="AI118" s="559"/>
      <c r="AJ118" s="559"/>
      <c r="AK118" s="1568">
        <v>11</v>
      </c>
    </row>
    <row r="119" spans="1:37" s="1568" customFormat="1" ht="11.25" customHeight="1">
      <c r="A119" s="917"/>
      <c r="B119" s="917"/>
      <c r="C119" s="917"/>
      <c r="D119" s="917"/>
      <c r="E119" s="917"/>
      <c r="F119" s="1563"/>
      <c r="G119" s="1563"/>
      <c r="H119" s="288"/>
      <c r="N119" s="1293"/>
      <c r="P119" s="1293"/>
      <c r="Q119" s="1563"/>
      <c r="R119" s="1563"/>
      <c r="S119" s="1293"/>
      <c r="T119" s="1293"/>
      <c r="U119" s="1293"/>
      <c r="V119" s="1293"/>
      <c r="W119" s="1563"/>
      <c r="X119" s="1293"/>
      <c r="Y119" s="1293"/>
      <c r="Z119" s="481"/>
      <c r="AA119" s="1293"/>
      <c r="AB119" s="1293"/>
      <c r="AC119" s="1293"/>
      <c r="AD119" s="1293"/>
      <c r="AE119" s="1293"/>
      <c r="AF119" s="1559"/>
      <c r="AG119" s="559"/>
      <c r="AH119" s="559"/>
      <c r="AI119" s="559"/>
      <c r="AJ119" s="559"/>
      <c r="AK119" s="1568">
        <v>11</v>
      </c>
    </row>
    <row r="120" spans="1:37" s="1568" customFormat="1" ht="11.25" customHeight="1">
      <c r="A120" s="917"/>
      <c r="B120" s="917"/>
      <c r="C120" s="917"/>
      <c r="D120" s="917"/>
      <c r="E120" s="917"/>
      <c r="F120" s="1563"/>
      <c r="G120" s="1563"/>
      <c r="H120" s="288"/>
      <c r="N120" s="1293"/>
      <c r="P120" s="1293"/>
      <c r="Q120" s="1563"/>
      <c r="R120" s="1563"/>
      <c r="S120" s="1293"/>
      <c r="T120" s="1293"/>
      <c r="U120" s="1293"/>
      <c r="V120" s="1293"/>
      <c r="W120" s="1563"/>
      <c r="X120" s="1293"/>
      <c r="Y120" s="1293"/>
      <c r="Z120" s="481"/>
      <c r="AA120" s="1293"/>
      <c r="AB120" s="1293"/>
      <c r="AC120" s="1293"/>
      <c r="AD120" s="1293"/>
      <c r="AE120" s="1293"/>
      <c r="AF120" s="1559"/>
      <c r="AG120" s="559"/>
      <c r="AH120" s="559"/>
      <c r="AI120" s="559"/>
      <c r="AJ120" s="559"/>
      <c r="AK120" s="1568">
        <v>11</v>
      </c>
    </row>
    <row r="121" spans="1:37" s="1568" customFormat="1" ht="11.25" customHeight="1">
      <c r="A121" s="917"/>
      <c r="B121" s="917"/>
      <c r="C121" s="917"/>
      <c r="D121" s="917"/>
      <c r="E121" s="917"/>
      <c r="F121" s="1563"/>
      <c r="G121" s="1563"/>
      <c r="H121" s="288"/>
      <c r="N121" s="1293"/>
      <c r="P121" s="1293"/>
      <c r="Q121" s="1563"/>
      <c r="R121" s="1563"/>
      <c r="S121" s="1293"/>
      <c r="T121" s="1293"/>
      <c r="U121" s="1293"/>
      <c r="V121" s="1293"/>
      <c r="W121" s="1563"/>
      <c r="X121" s="1293"/>
      <c r="Y121" s="1293"/>
      <c r="Z121" s="481"/>
      <c r="AA121" s="1293"/>
      <c r="AB121" s="1293"/>
      <c r="AC121" s="1293"/>
      <c r="AD121" s="1293"/>
      <c r="AE121" s="1293"/>
      <c r="AF121" s="1559"/>
      <c r="AG121" s="559"/>
      <c r="AH121" s="559"/>
      <c r="AI121" s="559"/>
      <c r="AJ121" s="559"/>
      <c r="AK121" s="1568">
        <v>11</v>
      </c>
    </row>
    <row r="122" spans="1:37" s="1568" customFormat="1" ht="11.25" customHeight="1">
      <c r="A122" s="917"/>
      <c r="B122" s="917"/>
      <c r="C122" s="917"/>
      <c r="D122" s="917"/>
      <c r="E122" s="917"/>
      <c r="F122" s="1563"/>
      <c r="G122" s="1563"/>
      <c r="H122" s="288"/>
      <c r="N122" s="1293"/>
      <c r="P122" s="1293"/>
      <c r="Q122" s="1563"/>
      <c r="R122" s="1563"/>
      <c r="S122" s="1293"/>
      <c r="T122" s="1293"/>
      <c r="U122" s="1293"/>
      <c r="V122" s="1293"/>
      <c r="W122" s="1563"/>
      <c r="X122" s="1293"/>
      <c r="Y122" s="1293"/>
      <c r="Z122" s="481"/>
      <c r="AA122" s="1293"/>
      <c r="AB122" s="1293"/>
      <c r="AC122" s="1293"/>
      <c r="AD122" s="1293"/>
      <c r="AE122" s="1293"/>
      <c r="AF122" s="1559"/>
      <c r="AG122" s="559"/>
      <c r="AH122" s="559"/>
      <c r="AI122" s="559"/>
      <c r="AJ122" s="559"/>
      <c r="AK122" s="1568">
        <v>11</v>
      </c>
    </row>
    <row r="123" spans="1:37" s="1568" customFormat="1" ht="11.25" customHeight="1">
      <c r="A123" s="917"/>
      <c r="B123" s="917"/>
      <c r="C123" s="917"/>
      <c r="D123" s="917"/>
      <c r="E123" s="917"/>
      <c r="F123" s="1563"/>
      <c r="G123" s="1563"/>
      <c r="H123" s="288"/>
      <c r="N123" s="1293"/>
      <c r="P123" s="1293"/>
      <c r="Q123" s="1563"/>
      <c r="R123" s="1563"/>
      <c r="S123" s="1293"/>
      <c r="T123" s="1293"/>
      <c r="U123" s="1293"/>
      <c r="V123" s="1293"/>
      <c r="W123" s="1563"/>
      <c r="X123" s="1293"/>
      <c r="Y123" s="1293"/>
      <c r="Z123" s="481"/>
      <c r="AA123" s="1293"/>
      <c r="AB123" s="1293"/>
      <c r="AC123" s="1293"/>
      <c r="AD123" s="1293"/>
      <c r="AE123" s="1293"/>
      <c r="AF123" s="1559"/>
      <c r="AG123" s="559"/>
      <c r="AH123" s="559"/>
      <c r="AI123" s="559"/>
      <c r="AJ123" s="559"/>
      <c r="AK123" s="1568">
        <v>11</v>
      </c>
    </row>
    <row r="124" spans="1:37" s="1568" customFormat="1" ht="11.25" customHeight="1">
      <c r="A124" s="917"/>
      <c r="B124" s="917"/>
      <c r="C124" s="917"/>
      <c r="D124" s="917"/>
      <c r="E124" s="917"/>
      <c r="F124" s="1563"/>
      <c r="G124" s="1563"/>
      <c r="H124" s="288"/>
      <c r="N124" s="1293"/>
      <c r="P124" s="1293"/>
      <c r="Q124" s="1563"/>
      <c r="R124" s="1563"/>
      <c r="S124" s="1293"/>
      <c r="T124" s="1293"/>
      <c r="U124" s="1293"/>
      <c r="V124" s="1293"/>
      <c r="W124" s="1563"/>
      <c r="X124" s="1293"/>
      <c r="Y124" s="1293"/>
      <c r="Z124" s="481"/>
      <c r="AA124" s="1293"/>
      <c r="AB124" s="1293"/>
      <c r="AC124" s="1293"/>
      <c r="AD124" s="1293"/>
      <c r="AE124" s="1293"/>
      <c r="AF124" s="1559"/>
      <c r="AG124" s="559"/>
      <c r="AH124" s="559"/>
      <c r="AI124" s="559"/>
      <c r="AJ124" s="559"/>
      <c r="AK124" s="1568">
        <v>11</v>
      </c>
    </row>
    <row r="125" spans="1:37" s="1568" customFormat="1" ht="11.25" customHeight="1">
      <c r="A125" s="917"/>
      <c r="B125" s="917"/>
      <c r="C125" s="917"/>
      <c r="D125" s="917"/>
      <c r="E125" s="917"/>
      <c r="F125" s="1563"/>
      <c r="G125" s="1563"/>
      <c r="H125" s="288"/>
      <c r="N125" s="1293"/>
      <c r="P125" s="1293"/>
      <c r="Q125" s="1563"/>
      <c r="R125" s="1563"/>
      <c r="S125" s="1293"/>
      <c r="T125" s="1293"/>
      <c r="U125" s="1293"/>
      <c r="V125" s="1293"/>
      <c r="W125" s="1563"/>
      <c r="X125" s="1293"/>
      <c r="Y125" s="1293"/>
      <c r="Z125" s="481"/>
      <c r="AA125" s="1293"/>
      <c r="AB125" s="1293"/>
      <c r="AC125" s="1293"/>
      <c r="AD125" s="1293"/>
      <c r="AE125" s="1293"/>
      <c r="AF125" s="1559"/>
      <c r="AG125" s="559"/>
      <c r="AH125" s="559"/>
      <c r="AI125" s="559"/>
      <c r="AJ125" s="559"/>
      <c r="AK125" s="1568">
        <v>11</v>
      </c>
    </row>
    <row r="126" spans="1:37" s="1568" customFormat="1" ht="11.25" customHeight="1">
      <c r="A126" s="917"/>
      <c r="B126" s="917"/>
      <c r="C126" s="917"/>
      <c r="D126" s="917"/>
      <c r="E126" s="917"/>
      <c r="F126" s="1563"/>
      <c r="G126" s="1563"/>
      <c r="H126" s="288"/>
      <c r="N126" s="1293"/>
      <c r="P126" s="1293"/>
      <c r="Q126" s="1563"/>
      <c r="R126" s="1563"/>
      <c r="S126" s="1293"/>
      <c r="T126" s="1293"/>
      <c r="U126" s="1293"/>
      <c r="V126" s="1293"/>
      <c r="W126" s="1563"/>
      <c r="X126" s="1293"/>
      <c r="Y126" s="1293"/>
      <c r="Z126" s="481"/>
      <c r="AA126" s="1293"/>
      <c r="AB126" s="1293"/>
      <c r="AC126" s="1293"/>
      <c r="AD126" s="1293"/>
      <c r="AE126" s="1293"/>
      <c r="AF126" s="1559"/>
      <c r="AG126" s="559"/>
      <c r="AH126" s="559"/>
      <c r="AI126" s="559"/>
      <c r="AJ126" s="559"/>
      <c r="AK126" s="1568">
        <v>11</v>
      </c>
    </row>
    <row r="127" spans="1:37" s="1568" customFormat="1" ht="11.25" customHeight="1">
      <c r="A127" s="917"/>
      <c r="B127" s="917"/>
      <c r="C127" s="917"/>
      <c r="D127" s="917"/>
      <c r="E127" s="917"/>
      <c r="F127" s="1563"/>
      <c r="G127" s="1563"/>
      <c r="H127" s="288"/>
      <c r="N127" s="1293"/>
      <c r="P127" s="1293"/>
      <c r="Q127" s="1563"/>
      <c r="R127" s="1563"/>
      <c r="S127" s="1293"/>
      <c r="T127" s="1293"/>
      <c r="U127" s="1293"/>
      <c r="V127" s="1293"/>
      <c r="W127" s="1563"/>
      <c r="X127" s="1293"/>
      <c r="Y127" s="1293"/>
      <c r="Z127" s="481"/>
      <c r="AA127" s="1293"/>
      <c r="AB127" s="1293"/>
      <c r="AC127" s="1293"/>
      <c r="AD127" s="1293"/>
      <c r="AE127" s="1293"/>
      <c r="AF127" s="1559"/>
      <c r="AG127" s="559"/>
      <c r="AH127" s="559"/>
      <c r="AI127" s="559"/>
      <c r="AJ127" s="559"/>
      <c r="AK127" s="1568">
        <v>11</v>
      </c>
    </row>
    <row r="128" spans="1:37" s="1568" customFormat="1" ht="11.25" customHeight="1">
      <c r="A128" s="917"/>
      <c r="B128" s="917"/>
      <c r="C128" s="917"/>
      <c r="D128" s="917"/>
      <c r="E128" s="917"/>
      <c r="F128" s="1563"/>
      <c r="G128" s="1563"/>
      <c r="H128" s="288"/>
      <c r="N128" s="1293"/>
      <c r="P128" s="1293"/>
      <c r="Q128" s="1563"/>
      <c r="R128" s="1563"/>
      <c r="S128" s="1293"/>
      <c r="T128" s="1293"/>
      <c r="U128" s="1293"/>
      <c r="V128" s="1293"/>
      <c r="W128" s="1563"/>
      <c r="X128" s="1293"/>
      <c r="Y128" s="1293"/>
      <c r="Z128" s="481"/>
      <c r="AA128" s="1293"/>
      <c r="AB128" s="1293"/>
      <c r="AC128" s="1293"/>
      <c r="AD128" s="1293"/>
      <c r="AE128" s="1293"/>
      <c r="AF128" s="1559"/>
      <c r="AG128" s="559"/>
      <c r="AH128" s="559"/>
      <c r="AI128" s="559"/>
      <c r="AJ128" s="559"/>
      <c r="AK128" s="1568">
        <v>11</v>
      </c>
    </row>
    <row r="129" spans="1:37" s="1568" customFormat="1" ht="11.25" customHeight="1">
      <c r="A129" s="917"/>
      <c r="B129" s="917"/>
      <c r="C129" s="917"/>
      <c r="D129" s="917"/>
      <c r="E129" s="917"/>
      <c r="F129" s="1563"/>
      <c r="G129" s="1563"/>
      <c r="H129" s="288"/>
      <c r="N129" s="1293"/>
      <c r="P129" s="1293"/>
      <c r="Q129" s="1563"/>
      <c r="R129" s="1563"/>
      <c r="S129" s="1293"/>
      <c r="T129" s="1293"/>
      <c r="U129" s="1293"/>
      <c r="V129" s="1293"/>
      <c r="W129" s="1563"/>
      <c r="X129" s="1293"/>
      <c r="Y129" s="1293"/>
      <c r="Z129" s="481"/>
      <c r="AA129" s="1293"/>
      <c r="AB129" s="1293"/>
      <c r="AC129" s="1293"/>
      <c r="AD129" s="1293"/>
      <c r="AE129" s="1293"/>
      <c r="AF129" s="1559"/>
      <c r="AG129" s="559"/>
      <c r="AH129" s="559"/>
      <c r="AI129" s="559"/>
      <c r="AJ129" s="559"/>
      <c r="AK129" s="1568">
        <v>11</v>
      </c>
    </row>
    <row r="130" spans="1:37" s="1568" customFormat="1" ht="11.25" customHeight="1">
      <c r="A130" s="917"/>
      <c r="B130" s="917"/>
      <c r="C130" s="917"/>
      <c r="D130" s="917"/>
      <c r="E130" s="917"/>
      <c r="F130" s="1563"/>
      <c r="G130" s="1563"/>
      <c r="H130" s="288"/>
      <c r="N130" s="1293"/>
      <c r="P130" s="1293"/>
      <c r="Q130" s="1563"/>
      <c r="R130" s="1563"/>
      <c r="S130" s="1293"/>
      <c r="T130" s="1293"/>
      <c r="U130" s="1293"/>
      <c r="V130" s="1293"/>
      <c r="W130" s="1563"/>
      <c r="X130" s="1293"/>
      <c r="Y130" s="1293"/>
      <c r="Z130" s="481"/>
      <c r="AA130" s="1293"/>
      <c r="AB130" s="1293"/>
      <c r="AC130" s="1293"/>
      <c r="AD130" s="1293"/>
      <c r="AE130" s="1293"/>
      <c r="AF130" s="1559"/>
      <c r="AG130" s="559"/>
      <c r="AH130" s="559"/>
      <c r="AI130" s="559"/>
      <c r="AJ130" s="559"/>
      <c r="AK130" s="1568">
        <v>11</v>
      </c>
    </row>
    <row r="131" spans="1:37" s="1568" customFormat="1" ht="11.25" customHeight="1">
      <c r="A131" s="917"/>
      <c r="B131" s="917"/>
      <c r="C131" s="917"/>
      <c r="D131" s="917"/>
      <c r="E131" s="917"/>
      <c r="F131" s="1563"/>
      <c r="G131" s="1563"/>
      <c r="H131" s="288"/>
      <c r="N131" s="1293"/>
      <c r="P131" s="1293"/>
      <c r="Q131" s="1563"/>
      <c r="R131" s="1563"/>
      <c r="S131" s="1293"/>
      <c r="T131" s="1293"/>
      <c r="U131" s="1293"/>
      <c r="V131" s="1293"/>
      <c r="W131" s="1563"/>
      <c r="X131" s="1293"/>
      <c r="Y131" s="1293"/>
      <c r="Z131" s="481"/>
      <c r="AA131" s="1293"/>
      <c r="AB131" s="1293"/>
      <c r="AC131" s="1293"/>
      <c r="AD131" s="1293"/>
      <c r="AE131" s="1293"/>
      <c r="AF131" s="1559"/>
      <c r="AG131" s="559"/>
      <c r="AH131" s="559"/>
      <c r="AI131" s="559"/>
      <c r="AJ131" s="559"/>
      <c r="AK131" s="1568">
        <v>11</v>
      </c>
    </row>
    <row r="132" spans="1:37" s="1568" customFormat="1" ht="11.25" customHeight="1">
      <c r="A132" s="917"/>
      <c r="B132" s="917"/>
      <c r="C132" s="917"/>
      <c r="D132" s="917"/>
      <c r="E132" s="917"/>
      <c r="F132" s="1563"/>
      <c r="G132" s="1563"/>
      <c r="H132" s="288"/>
      <c r="N132" s="1293"/>
      <c r="P132" s="1293"/>
      <c r="Q132" s="1563"/>
      <c r="R132" s="1563"/>
      <c r="S132" s="1293"/>
      <c r="T132" s="1293"/>
      <c r="U132" s="1293"/>
      <c r="V132" s="1293"/>
      <c r="W132" s="1563"/>
      <c r="X132" s="1293"/>
      <c r="Y132" s="1293"/>
      <c r="Z132" s="481"/>
      <c r="AA132" s="1293"/>
      <c r="AB132" s="1293"/>
      <c r="AC132" s="1293"/>
      <c r="AD132" s="1293"/>
      <c r="AE132" s="1293"/>
      <c r="AF132" s="1559"/>
      <c r="AG132" s="559"/>
      <c r="AH132" s="559"/>
      <c r="AI132" s="559"/>
      <c r="AJ132" s="559"/>
      <c r="AK132" s="1568">
        <v>11</v>
      </c>
    </row>
    <row r="133" spans="1:37" s="1568" customFormat="1" ht="11.25" customHeight="1">
      <c r="A133" s="917"/>
      <c r="B133" s="917"/>
      <c r="C133" s="917"/>
      <c r="D133" s="917"/>
      <c r="E133" s="917"/>
      <c r="F133" s="1563"/>
      <c r="G133" s="1563"/>
      <c r="H133" s="288"/>
      <c r="N133" s="1293"/>
      <c r="P133" s="1293"/>
      <c r="Q133" s="1563"/>
      <c r="R133" s="1563"/>
      <c r="S133" s="1293"/>
      <c r="T133" s="1293"/>
      <c r="U133" s="1293"/>
      <c r="V133" s="1293"/>
      <c r="W133" s="1563"/>
      <c r="X133" s="1293"/>
      <c r="Y133" s="1293"/>
      <c r="Z133" s="481"/>
      <c r="AA133" s="1293"/>
      <c r="AB133" s="1293"/>
      <c r="AC133" s="1293"/>
      <c r="AD133" s="1293"/>
      <c r="AE133" s="1293"/>
      <c r="AF133" s="1559"/>
      <c r="AG133" s="559"/>
      <c r="AH133" s="559"/>
      <c r="AI133" s="559"/>
      <c r="AJ133" s="559"/>
      <c r="AK133" s="1568">
        <v>11</v>
      </c>
    </row>
    <row r="134" spans="1:37" s="1568" customFormat="1" ht="11.25" customHeight="1">
      <c r="A134" s="917"/>
      <c r="B134" s="917"/>
      <c r="C134" s="917"/>
      <c r="D134" s="917"/>
      <c r="E134" s="917"/>
      <c r="F134" s="1563"/>
      <c r="G134" s="1563"/>
      <c r="H134" s="288"/>
      <c r="N134" s="1293"/>
      <c r="P134" s="1293"/>
      <c r="Q134" s="1563"/>
      <c r="R134" s="1563"/>
      <c r="S134" s="1293"/>
      <c r="T134" s="1293"/>
      <c r="U134" s="1293"/>
      <c r="V134" s="1293"/>
      <c r="W134" s="1563"/>
      <c r="X134" s="1293"/>
      <c r="Y134" s="1293"/>
      <c r="Z134" s="481"/>
      <c r="AA134" s="1293"/>
      <c r="AB134" s="1293"/>
      <c r="AC134" s="1293"/>
      <c r="AD134" s="1293"/>
      <c r="AE134" s="1293"/>
      <c r="AF134" s="1559"/>
      <c r="AG134" s="559"/>
      <c r="AH134" s="559"/>
      <c r="AI134" s="559"/>
      <c r="AJ134" s="559"/>
      <c r="AK134" s="1568">
        <v>11</v>
      </c>
    </row>
    <row r="135" spans="1:37" s="1568" customFormat="1" ht="11.25" customHeight="1">
      <c r="A135" s="917"/>
      <c r="B135" s="917"/>
      <c r="C135" s="917"/>
      <c r="D135" s="917"/>
      <c r="E135" s="917"/>
      <c r="F135" s="1563"/>
      <c r="G135" s="1563"/>
      <c r="H135" s="288"/>
      <c r="N135" s="1293"/>
      <c r="P135" s="1293"/>
      <c r="Q135" s="1563"/>
      <c r="R135" s="1563"/>
      <c r="S135" s="1293"/>
      <c r="T135" s="1293"/>
      <c r="U135" s="1293"/>
      <c r="V135" s="1293"/>
      <c r="W135" s="1563"/>
      <c r="X135" s="1293"/>
      <c r="Y135" s="1293"/>
      <c r="Z135" s="481"/>
      <c r="AA135" s="1293"/>
      <c r="AB135" s="1293"/>
      <c r="AC135" s="1293"/>
      <c r="AD135" s="1293"/>
      <c r="AE135" s="1293"/>
      <c r="AF135" s="1559"/>
      <c r="AG135" s="559"/>
      <c r="AH135" s="559"/>
      <c r="AI135" s="559"/>
      <c r="AJ135" s="559"/>
      <c r="AK135" s="1568">
        <v>11</v>
      </c>
    </row>
    <row r="136" spans="1:37" s="1568" customFormat="1" ht="11.25" customHeight="1">
      <c r="A136" s="917"/>
      <c r="B136" s="917"/>
      <c r="C136" s="917"/>
      <c r="D136" s="917"/>
      <c r="E136" s="917"/>
      <c r="F136" s="1563"/>
      <c r="G136" s="1563"/>
      <c r="H136" s="288"/>
      <c r="N136" s="1293"/>
      <c r="P136" s="1293"/>
      <c r="Q136" s="1563"/>
      <c r="R136" s="1563"/>
      <c r="S136" s="1293"/>
      <c r="T136" s="1293"/>
      <c r="U136" s="1293"/>
      <c r="V136" s="1293"/>
      <c r="W136" s="1563"/>
      <c r="X136" s="1293"/>
      <c r="Y136" s="1293"/>
      <c r="Z136" s="481"/>
      <c r="AA136" s="1293"/>
      <c r="AB136" s="1293"/>
      <c r="AC136" s="1293"/>
      <c r="AD136" s="1293"/>
      <c r="AE136" s="1293"/>
      <c r="AF136" s="1559"/>
      <c r="AG136" s="559"/>
      <c r="AH136" s="559"/>
      <c r="AI136" s="559"/>
      <c r="AJ136" s="559"/>
      <c r="AK136" s="1568">
        <v>11</v>
      </c>
    </row>
    <row r="137" spans="1:37" s="1568" customFormat="1" ht="11.25" customHeight="1">
      <c r="A137" s="917"/>
      <c r="B137" s="917"/>
      <c r="C137" s="917"/>
      <c r="D137" s="917"/>
      <c r="E137" s="917"/>
      <c r="F137" s="1563"/>
      <c r="G137" s="1563"/>
      <c r="H137" s="288"/>
      <c r="N137" s="1293"/>
      <c r="P137" s="1293"/>
      <c r="Q137" s="1563"/>
      <c r="R137" s="1563"/>
      <c r="S137" s="1293"/>
      <c r="T137" s="1293"/>
      <c r="U137" s="1293"/>
      <c r="V137" s="1293"/>
      <c r="W137" s="1563"/>
      <c r="X137" s="1293"/>
      <c r="Y137" s="1293"/>
      <c r="Z137" s="481"/>
      <c r="AA137" s="1293"/>
      <c r="AB137" s="1293"/>
      <c r="AC137" s="1293"/>
      <c r="AD137" s="1293"/>
      <c r="AE137" s="1293"/>
      <c r="AF137" s="1559"/>
      <c r="AG137" s="559"/>
      <c r="AH137" s="559"/>
      <c r="AI137" s="559"/>
      <c r="AJ137" s="559"/>
      <c r="AK137" s="1568">
        <v>11</v>
      </c>
    </row>
    <row r="138" spans="1:37" s="1568" customFormat="1" ht="11.25" customHeight="1">
      <c r="A138" s="917"/>
      <c r="B138" s="917"/>
      <c r="C138" s="917"/>
      <c r="D138" s="917"/>
      <c r="E138" s="917"/>
      <c r="F138" s="1563"/>
      <c r="G138" s="1563"/>
      <c r="H138" s="288"/>
      <c r="N138" s="1293"/>
      <c r="P138" s="1293"/>
      <c r="Q138" s="1563"/>
      <c r="R138" s="1563"/>
      <c r="S138" s="1293"/>
      <c r="T138" s="1293"/>
      <c r="U138" s="1293"/>
      <c r="V138" s="1293"/>
      <c r="W138" s="1563"/>
      <c r="X138" s="1293"/>
      <c r="Y138" s="1293"/>
      <c r="Z138" s="481"/>
      <c r="AA138" s="1293"/>
      <c r="AB138" s="1293"/>
      <c r="AC138" s="1293"/>
      <c r="AD138" s="1293"/>
      <c r="AE138" s="1293"/>
      <c r="AF138" s="1559"/>
      <c r="AG138" s="559"/>
      <c r="AH138" s="559"/>
      <c r="AI138" s="559"/>
      <c r="AJ138" s="559"/>
      <c r="AK138" s="1568">
        <v>11</v>
      </c>
    </row>
    <row r="139" spans="1:37" s="1568" customFormat="1" ht="11.25" customHeight="1">
      <c r="A139" s="917"/>
      <c r="B139" s="917"/>
      <c r="C139" s="917"/>
      <c r="D139" s="917"/>
      <c r="E139" s="917"/>
      <c r="F139" s="1563"/>
      <c r="G139" s="1563"/>
      <c r="H139" s="288"/>
      <c r="N139" s="1293"/>
      <c r="P139" s="1293"/>
      <c r="Q139" s="1563"/>
      <c r="R139" s="1563"/>
      <c r="S139" s="1293"/>
      <c r="T139" s="1293"/>
      <c r="U139" s="1293"/>
      <c r="V139" s="1293"/>
      <c r="W139" s="1563"/>
      <c r="X139" s="1293"/>
      <c r="Y139" s="1293"/>
      <c r="Z139" s="481"/>
      <c r="AA139" s="1293"/>
      <c r="AB139" s="1293"/>
      <c r="AC139" s="1293"/>
      <c r="AD139" s="1293"/>
      <c r="AE139" s="1293"/>
      <c r="AF139" s="1559"/>
      <c r="AG139" s="559"/>
      <c r="AH139" s="559"/>
      <c r="AI139" s="559"/>
      <c r="AJ139" s="559"/>
      <c r="AK139" s="1568">
        <v>11</v>
      </c>
    </row>
    <row r="140" spans="1:37" s="1568" customFormat="1" ht="11.25" customHeight="1">
      <c r="A140" s="917"/>
      <c r="B140" s="917"/>
      <c r="C140" s="917"/>
      <c r="D140" s="917"/>
      <c r="E140" s="917"/>
      <c r="F140" s="1563"/>
      <c r="G140" s="1563"/>
      <c r="H140" s="288"/>
      <c r="N140" s="1293"/>
      <c r="P140" s="1293"/>
      <c r="Q140" s="1563"/>
      <c r="R140" s="1563"/>
      <c r="S140" s="1293"/>
      <c r="T140" s="1293"/>
      <c r="U140" s="1293"/>
      <c r="V140" s="1293"/>
      <c r="W140" s="1563"/>
      <c r="X140" s="1293"/>
      <c r="Y140" s="1293"/>
      <c r="Z140" s="481"/>
      <c r="AA140" s="1293"/>
      <c r="AB140" s="1293"/>
      <c r="AC140" s="1293"/>
      <c r="AD140" s="1293"/>
      <c r="AE140" s="1293"/>
      <c r="AF140" s="1559"/>
      <c r="AG140" s="559"/>
      <c r="AH140" s="559"/>
      <c r="AI140" s="559"/>
      <c r="AJ140" s="559"/>
      <c r="AK140" s="1568">
        <v>11</v>
      </c>
    </row>
    <row r="141" spans="1:37" s="1568" customFormat="1" ht="11.25" customHeight="1">
      <c r="A141" s="917"/>
      <c r="B141" s="917"/>
      <c r="C141" s="917"/>
      <c r="D141" s="917"/>
      <c r="E141" s="917"/>
      <c r="F141" s="1563"/>
      <c r="G141" s="1563"/>
      <c r="H141" s="288"/>
      <c r="N141" s="1293"/>
      <c r="P141" s="1293"/>
      <c r="Q141" s="1563"/>
      <c r="R141" s="1563"/>
      <c r="S141" s="1293"/>
      <c r="T141" s="1293"/>
      <c r="U141" s="1293"/>
      <c r="V141" s="1293"/>
      <c r="W141" s="1563"/>
      <c r="X141" s="1293"/>
      <c r="Y141" s="1293"/>
      <c r="Z141" s="481"/>
      <c r="AA141" s="1293"/>
      <c r="AB141" s="1293"/>
      <c r="AC141" s="1293"/>
      <c r="AD141" s="1293"/>
      <c r="AE141" s="1293"/>
      <c r="AF141" s="1559"/>
      <c r="AG141" s="559"/>
      <c r="AH141" s="559"/>
      <c r="AI141" s="559"/>
      <c r="AJ141" s="559"/>
      <c r="AK141" s="1568">
        <v>11</v>
      </c>
    </row>
    <row r="142" spans="1:37" s="1568" customFormat="1" ht="11.25" customHeight="1">
      <c r="A142" s="917"/>
      <c r="B142" s="917"/>
      <c r="C142" s="917"/>
      <c r="D142" s="917"/>
      <c r="E142" s="917"/>
      <c r="F142" s="1563"/>
      <c r="G142" s="1563"/>
      <c r="H142" s="288"/>
      <c r="N142" s="1293"/>
      <c r="P142" s="1293"/>
      <c r="Q142" s="1563"/>
      <c r="R142" s="1563"/>
      <c r="S142" s="1293"/>
      <c r="T142" s="1293"/>
      <c r="U142" s="1293"/>
      <c r="V142" s="1293"/>
      <c r="W142" s="1563"/>
      <c r="X142" s="1293"/>
      <c r="Y142" s="1293"/>
      <c r="Z142" s="481"/>
      <c r="AA142" s="1293"/>
      <c r="AB142" s="1293"/>
      <c r="AC142" s="1293"/>
      <c r="AD142" s="1293"/>
      <c r="AE142" s="1293"/>
      <c r="AF142" s="1559"/>
      <c r="AG142" s="559"/>
      <c r="AH142" s="559"/>
      <c r="AI142" s="559"/>
      <c r="AJ142" s="559"/>
      <c r="AK142" s="1568">
        <v>11</v>
      </c>
    </row>
    <row r="143" spans="1:37" s="1568" customFormat="1" ht="11.25" customHeight="1">
      <c r="A143" s="917"/>
      <c r="B143" s="917"/>
      <c r="C143" s="917"/>
      <c r="D143" s="917"/>
      <c r="E143" s="917"/>
      <c r="F143" s="1563"/>
      <c r="G143" s="1563"/>
      <c r="H143" s="288"/>
      <c r="N143" s="1293"/>
      <c r="P143" s="1293"/>
      <c r="Q143" s="1563"/>
      <c r="R143" s="1563"/>
      <c r="S143" s="1293"/>
      <c r="T143" s="1293"/>
      <c r="U143" s="1293"/>
      <c r="V143" s="1293"/>
      <c r="W143" s="1563"/>
      <c r="X143" s="1293"/>
      <c r="Y143" s="1293"/>
      <c r="Z143" s="481"/>
      <c r="AA143" s="1293"/>
      <c r="AB143" s="1293"/>
      <c r="AC143" s="1293"/>
      <c r="AD143" s="1293"/>
      <c r="AE143" s="1293"/>
      <c r="AF143" s="1559"/>
      <c r="AG143" s="559"/>
      <c r="AH143" s="559"/>
      <c r="AI143" s="559"/>
      <c r="AJ143" s="559"/>
      <c r="AK143" s="1568">
        <v>11</v>
      </c>
    </row>
    <row r="144" spans="1:37" s="1568" customFormat="1" ht="11.25" customHeight="1">
      <c r="A144" s="917"/>
      <c r="B144" s="917"/>
      <c r="C144" s="917"/>
      <c r="D144" s="917"/>
      <c r="E144" s="917"/>
      <c r="F144" s="1563"/>
      <c r="G144" s="1563"/>
      <c r="H144" s="288"/>
      <c r="N144" s="1293"/>
      <c r="P144" s="1293"/>
      <c r="Q144" s="1563"/>
      <c r="R144" s="1563"/>
      <c r="S144" s="1293"/>
      <c r="T144" s="1293"/>
      <c r="U144" s="1293"/>
      <c r="V144" s="1293"/>
      <c r="W144" s="1563"/>
      <c r="X144" s="1293"/>
      <c r="Y144" s="1293"/>
      <c r="Z144" s="481"/>
      <c r="AA144" s="1293"/>
      <c r="AB144" s="1293"/>
      <c r="AC144" s="1293"/>
      <c r="AD144" s="1293"/>
      <c r="AE144" s="1293"/>
      <c r="AF144" s="1559"/>
      <c r="AG144" s="559"/>
      <c r="AH144" s="559"/>
      <c r="AI144" s="559"/>
      <c r="AJ144" s="559"/>
      <c r="AK144" s="1568">
        <v>11</v>
      </c>
    </row>
    <row r="145" spans="1:37" s="1568" customFormat="1" ht="11.25" customHeight="1">
      <c r="A145" s="917"/>
      <c r="B145" s="917"/>
      <c r="C145" s="917"/>
      <c r="D145" s="917"/>
      <c r="E145" s="917"/>
      <c r="F145" s="1563"/>
      <c r="G145" s="1563"/>
      <c r="H145" s="288"/>
      <c r="N145" s="1293"/>
      <c r="P145" s="1293"/>
      <c r="Q145" s="1563"/>
      <c r="R145" s="1563"/>
      <c r="S145" s="1293"/>
      <c r="T145" s="1293"/>
      <c r="U145" s="1293"/>
      <c r="V145" s="1293"/>
      <c r="W145" s="1563"/>
      <c r="X145" s="1293"/>
      <c r="Y145" s="1293"/>
      <c r="Z145" s="481"/>
      <c r="AA145" s="1293"/>
      <c r="AB145" s="1293"/>
      <c r="AC145" s="1293"/>
      <c r="AD145" s="1293"/>
      <c r="AE145" s="1293"/>
      <c r="AF145" s="1559"/>
      <c r="AG145" s="559"/>
      <c r="AH145" s="559"/>
      <c r="AI145" s="559"/>
      <c r="AJ145" s="559"/>
      <c r="AK145" s="1568">
        <v>11</v>
      </c>
    </row>
    <row r="146" spans="1:37" s="1568" customFormat="1" ht="11.25" customHeight="1">
      <c r="A146" s="917"/>
      <c r="B146" s="917"/>
      <c r="C146" s="917"/>
      <c r="D146" s="917"/>
      <c r="E146" s="917"/>
      <c r="F146" s="1563"/>
      <c r="G146" s="1563"/>
      <c r="H146" s="288"/>
      <c r="N146" s="1293"/>
      <c r="P146" s="1293"/>
      <c r="Q146" s="1563"/>
      <c r="R146" s="1563"/>
      <c r="S146" s="1293"/>
      <c r="T146" s="1293"/>
      <c r="U146" s="1293"/>
      <c r="V146" s="1293"/>
      <c r="W146" s="1563"/>
      <c r="X146" s="1293"/>
      <c r="Y146" s="1293"/>
      <c r="Z146" s="481"/>
      <c r="AA146" s="1293"/>
      <c r="AB146" s="1293"/>
      <c r="AC146" s="1293"/>
      <c r="AD146" s="1293"/>
      <c r="AE146" s="1293"/>
      <c r="AF146" s="1559"/>
      <c r="AG146" s="559"/>
      <c r="AH146" s="559"/>
      <c r="AI146" s="559"/>
      <c r="AJ146" s="559"/>
      <c r="AK146" s="1568">
        <v>11</v>
      </c>
    </row>
    <row r="147" spans="1:37" s="1568" customFormat="1" ht="11.25" customHeight="1">
      <c r="A147" s="917"/>
      <c r="B147" s="917"/>
      <c r="C147" s="917"/>
      <c r="D147" s="917"/>
      <c r="E147" s="917"/>
      <c r="F147" s="1563"/>
      <c r="G147" s="1563"/>
      <c r="H147" s="288"/>
      <c r="N147" s="1293"/>
      <c r="P147" s="1293"/>
      <c r="Q147" s="1563"/>
      <c r="R147" s="1563"/>
      <c r="S147" s="1293"/>
      <c r="T147" s="1293"/>
      <c r="U147" s="1293"/>
      <c r="V147" s="1293"/>
      <c r="W147" s="1563"/>
      <c r="X147" s="1293"/>
      <c r="Y147" s="1293"/>
      <c r="Z147" s="481"/>
      <c r="AA147" s="1293"/>
      <c r="AB147" s="1293"/>
      <c r="AC147" s="1293"/>
      <c r="AD147" s="1293"/>
      <c r="AE147" s="1293"/>
      <c r="AF147" s="1559"/>
      <c r="AG147" s="559"/>
      <c r="AH147" s="559"/>
      <c r="AI147" s="559"/>
      <c r="AJ147" s="559"/>
      <c r="AK147" s="1568">
        <v>11</v>
      </c>
    </row>
    <row r="148" spans="1:37" s="1568" customFormat="1" ht="11.25" customHeight="1">
      <c r="A148" s="917"/>
      <c r="B148" s="917"/>
      <c r="C148" s="917"/>
      <c r="D148" s="917"/>
      <c r="E148" s="917"/>
      <c r="F148" s="1563"/>
      <c r="G148" s="1563"/>
      <c r="H148" s="288"/>
      <c r="N148" s="1293"/>
      <c r="P148" s="1293"/>
      <c r="Q148" s="1563"/>
      <c r="R148" s="1563"/>
      <c r="S148" s="1293"/>
      <c r="T148" s="1293"/>
      <c r="U148" s="1293"/>
      <c r="V148" s="1293"/>
      <c r="W148" s="1563"/>
      <c r="X148" s="1293"/>
      <c r="Y148" s="1293"/>
      <c r="Z148" s="481"/>
      <c r="AA148" s="1293"/>
      <c r="AB148" s="1293"/>
      <c r="AC148" s="1293"/>
      <c r="AD148" s="1293"/>
      <c r="AE148" s="1293"/>
      <c r="AF148" s="1559"/>
      <c r="AG148" s="559"/>
      <c r="AH148" s="559"/>
      <c r="AI148" s="559"/>
      <c r="AJ148" s="559"/>
      <c r="AK148" s="1568">
        <v>11</v>
      </c>
    </row>
    <row r="149" spans="1:37" s="1568" customFormat="1" ht="11.25" customHeight="1">
      <c r="A149" s="917"/>
      <c r="B149" s="917"/>
      <c r="C149" s="917"/>
      <c r="D149" s="917"/>
      <c r="E149" s="917"/>
      <c r="F149" s="1563"/>
      <c r="G149" s="1563"/>
      <c r="H149" s="288"/>
      <c r="N149" s="1293"/>
      <c r="P149" s="1293"/>
      <c r="Q149" s="1563"/>
      <c r="R149" s="1563"/>
      <c r="S149" s="1293"/>
      <c r="T149" s="1293"/>
      <c r="U149" s="1293"/>
      <c r="V149" s="1293"/>
      <c r="W149" s="1563"/>
      <c r="X149" s="1293"/>
      <c r="Y149" s="1293"/>
      <c r="Z149" s="481"/>
      <c r="AA149" s="1293"/>
      <c r="AB149" s="1293"/>
      <c r="AC149" s="1293"/>
      <c r="AD149" s="1293"/>
      <c r="AE149" s="1293"/>
      <c r="AF149" s="1559"/>
      <c r="AG149" s="559"/>
      <c r="AH149" s="559"/>
      <c r="AI149" s="559"/>
      <c r="AJ149" s="559"/>
      <c r="AK149" s="1568">
        <v>11</v>
      </c>
    </row>
    <row r="150" spans="1:37" s="1568" customFormat="1" ht="11.25" customHeight="1">
      <c r="A150" s="917"/>
      <c r="B150" s="917"/>
      <c r="C150" s="917"/>
      <c r="D150" s="917"/>
      <c r="E150" s="917"/>
      <c r="F150" s="1563"/>
      <c r="G150" s="1563"/>
      <c r="H150" s="288"/>
      <c r="N150" s="1293"/>
      <c r="P150" s="1293"/>
      <c r="Q150" s="1563"/>
      <c r="R150" s="1563"/>
      <c r="S150" s="1293"/>
      <c r="T150" s="1293"/>
      <c r="U150" s="1293"/>
      <c r="V150" s="1293"/>
      <c r="W150" s="1563"/>
      <c r="X150" s="1293"/>
      <c r="Y150" s="1293"/>
      <c r="Z150" s="481"/>
      <c r="AA150" s="1293"/>
      <c r="AB150" s="1293"/>
      <c r="AC150" s="1293"/>
      <c r="AD150" s="1293"/>
      <c r="AE150" s="1293"/>
      <c r="AF150" s="1559"/>
      <c r="AG150" s="559"/>
      <c r="AH150" s="559"/>
      <c r="AI150" s="559"/>
      <c r="AJ150" s="559"/>
      <c r="AK150" s="1568">
        <v>11</v>
      </c>
    </row>
    <row r="151" spans="1:37" s="1568" customFormat="1" ht="11.25" customHeight="1">
      <c r="A151" s="917"/>
      <c r="B151" s="917"/>
      <c r="C151" s="917"/>
      <c r="D151" s="917"/>
      <c r="E151" s="917"/>
      <c r="F151" s="1563"/>
      <c r="G151" s="1563"/>
      <c r="H151" s="288"/>
      <c r="N151" s="1293"/>
      <c r="P151" s="1293"/>
      <c r="Q151" s="1563"/>
      <c r="R151" s="1563"/>
      <c r="S151" s="1293"/>
      <c r="T151" s="1293"/>
      <c r="U151" s="1293"/>
      <c r="V151" s="1293"/>
      <c r="W151" s="1563"/>
      <c r="X151" s="1293"/>
      <c r="Y151" s="1293"/>
      <c r="Z151" s="481"/>
      <c r="AA151" s="1293"/>
      <c r="AB151" s="1293"/>
      <c r="AC151" s="1293"/>
      <c r="AD151" s="1293"/>
      <c r="AE151" s="1293"/>
      <c r="AF151" s="1559"/>
      <c r="AG151" s="559"/>
      <c r="AH151" s="559"/>
      <c r="AI151" s="559"/>
      <c r="AJ151" s="559"/>
      <c r="AK151" s="1568">
        <v>11</v>
      </c>
    </row>
    <row r="152" spans="1:37" s="1568" customFormat="1" ht="11.25" customHeight="1">
      <c r="A152" s="917"/>
      <c r="B152" s="917"/>
      <c r="C152" s="917"/>
      <c r="D152" s="917"/>
      <c r="E152" s="917"/>
      <c r="F152" s="1563"/>
      <c r="G152" s="1563"/>
      <c r="H152" s="288"/>
      <c r="N152" s="1293"/>
      <c r="P152" s="1293"/>
      <c r="Q152" s="1563"/>
      <c r="R152" s="1563"/>
      <c r="S152" s="1293"/>
      <c r="T152" s="1293"/>
      <c r="U152" s="1293"/>
      <c r="V152" s="1293"/>
      <c r="W152" s="1563"/>
      <c r="X152" s="1293"/>
      <c r="Y152" s="1293"/>
      <c r="Z152" s="481"/>
      <c r="AA152" s="1293"/>
      <c r="AB152" s="1293"/>
      <c r="AC152" s="1293"/>
      <c r="AD152" s="1293"/>
      <c r="AE152" s="1293"/>
      <c r="AF152" s="1559"/>
      <c r="AG152" s="559"/>
      <c r="AH152" s="559"/>
      <c r="AI152" s="559"/>
      <c r="AJ152" s="559"/>
      <c r="AK152" s="1568">
        <v>11</v>
      </c>
    </row>
    <row r="153" spans="1:37" s="1568" customFormat="1" ht="11.25" customHeight="1">
      <c r="A153" s="917"/>
      <c r="B153" s="917"/>
      <c r="C153" s="917"/>
      <c r="D153" s="917"/>
      <c r="E153" s="917"/>
      <c r="F153" s="1563"/>
      <c r="G153" s="1563"/>
      <c r="H153" s="288"/>
      <c r="N153" s="1293"/>
      <c r="P153" s="1293"/>
      <c r="Q153" s="1563"/>
      <c r="R153" s="1563"/>
      <c r="S153" s="1293"/>
      <c r="T153" s="1293"/>
      <c r="U153" s="1293"/>
      <c r="V153" s="1293"/>
      <c r="W153" s="1563"/>
      <c r="X153" s="1293"/>
      <c r="Y153" s="1293"/>
      <c r="Z153" s="481"/>
      <c r="AA153" s="1293"/>
      <c r="AB153" s="1293"/>
      <c r="AC153" s="1293"/>
      <c r="AD153" s="1293"/>
      <c r="AE153" s="1293"/>
      <c r="AF153" s="1559"/>
      <c r="AG153" s="559"/>
      <c r="AH153" s="559"/>
      <c r="AI153" s="559"/>
      <c r="AJ153" s="559"/>
      <c r="AK153" s="1568">
        <v>11</v>
      </c>
    </row>
    <row r="154" spans="1:37" s="1568" customFormat="1" ht="11.25" customHeight="1">
      <c r="A154" s="917"/>
      <c r="B154" s="917"/>
      <c r="C154" s="917"/>
      <c r="D154" s="917"/>
      <c r="E154" s="917"/>
      <c r="F154" s="1563"/>
      <c r="G154" s="1563"/>
      <c r="H154" s="288"/>
      <c r="N154" s="1293"/>
      <c r="P154" s="1293"/>
      <c r="Q154" s="1563"/>
      <c r="R154" s="1563"/>
      <c r="S154" s="1293"/>
      <c r="T154" s="1293"/>
      <c r="U154" s="1293"/>
      <c r="V154" s="1293"/>
      <c r="W154" s="1563"/>
      <c r="X154" s="1293"/>
      <c r="Y154" s="1293"/>
      <c r="Z154" s="481"/>
      <c r="AA154" s="1293"/>
      <c r="AB154" s="1293"/>
      <c r="AC154" s="1293"/>
      <c r="AD154" s="1293"/>
      <c r="AE154" s="1293"/>
      <c r="AF154" s="1559"/>
      <c r="AG154" s="559"/>
      <c r="AH154" s="559"/>
      <c r="AI154" s="559"/>
      <c r="AJ154" s="559"/>
      <c r="AK154" s="1568">
        <v>11</v>
      </c>
    </row>
    <row r="155" spans="1:37" s="1568" customFormat="1" ht="11.25" customHeight="1">
      <c r="A155" s="917"/>
      <c r="B155" s="917"/>
      <c r="C155" s="917"/>
      <c r="D155" s="917"/>
      <c r="E155" s="917"/>
      <c r="F155" s="1563"/>
      <c r="G155" s="1563"/>
      <c r="H155" s="288"/>
      <c r="N155" s="1293"/>
      <c r="P155" s="1293"/>
      <c r="Q155" s="1563"/>
      <c r="R155" s="1563"/>
      <c r="S155" s="1293"/>
      <c r="T155" s="1293"/>
      <c r="U155" s="1293"/>
      <c r="V155" s="1293"/>
      <c r="W155" s="1563"/>
      <c r="X155" s="1293"/>
      <c r="Y155" s="1293"/>
      <c r="Z155" s="481"/>
      <c r="AA155" s="1293"/>
      <c r="AB155" s="1293"/>
      <c r="AC155" s="1293"/>
      <c r="AD155" s="1293"/>
      <c r="AE155" s="1293"/>
      <c r="AF155" s="1559"/>
      <c r="AG155" s="559"/>
      <c r="AH155" s="559"/>
      <c r="AI155" s="559"/>
      <c r="AJ155" s="559"/>
      <c r="AK155" s="1568">
        <v>11</v>
      </c>
    </row>
    <row r="156" spans="1:37" s="1568" customFormat="1" ht="11.25" customHeight="1">
      <c r="A156" s="917"/>
      <c r="B156" s="917"/>
      <c r="C156" s="917"/>
      <c r="D156" s="917"/>
      <c r="E156" s="917"/>
      <c r="F156" s="1563"/>
      <c r="G156" s="1563"/>
      <c r="H156" s="288"/>
      <c r="N156" s="1293"/>
      <c r="P156" s="1293"/>
      <c r="Q156" s="1563"/>
      <c r="R156" s="1563"/>
      <c r="S156" s="1293"/>
      <c r="T156" s="1293"/>
      <c r="U156" s="1293"/>
      <c r="V156" s="1293"/>
      <c r="W156" s="1563"/>
      <c r="X156" s="1293"/>
      <c r="Y156" s="1293"/>
      <c r="Z156" s="481"/>
      <c r="AA156" s="1293"/>
      <c r="AB156" s="1293"/>
      <c r="AC156" s="1293"/>
      <c r="AD156" s="1293"/>
      <c r="AE156" s="1293"/>
      <c r="AF156" s="1559"/>
      <c r="AG156" s="559"/>
      <c r="AH156" s="559"/>
      <c r="AI156" s="559"/>
      <c r="AJ156" s="559"/>
      <c r="AK156" s="1568">
        <v>11</v>
      </c>
    </row>
    <row r="157" spans="1:37" s="1568" customFormat="1" ht="11.25" customHeight="1">
      <c r="A157" s="917"/>
      <c r="B157" s="917"/>
      <c r="C157" s="917"/>
      <c r="D157" s="917"/>
      <c r="E157" s="917"/>
      <c r="F157" s="1563"/>
      <c r="G157" s="1563"/>
      <c r="H157" s="288"/>
      <c r="N157" s="1293"/>
      <c r="P157" s="1293"/>
      <c r="Q157" s="1563"/>
      <c r="R157" s="1563"/>
      <c r="S157" s="1293"/>
      <c r="T157" s="1293"/>
      <c r="U157" s="1293"/>
      <c r="V157" s="1293"/>
      <c r="W157" s="1563"/>
      <c r="X157" s="1293"/>
      <c r="Y157" s="1293"/>
      <c r="Z157" s="481"/>
      <c r="AA157" s="1293"/>
      <c r="AB157" s="1293"/>
      <c r="AC157" s="1293"/>
      <c r="AD157" s="1293"/>
      <c r="AE157" s="1293"/>
      <c r="AF157" s="1559"/>
      <c r="AG157" s="559"/>
      <c r="AH157" s="559"/>
      <c r="AI157" s="559"/>
      <c r="AJ157" s="559"/>
      <c r="AK157" s="1568">
        <v>11</v>
      </c>
    </row>
    <row r="158" spans="1:37" s="1568" customFormat="1" ht="11.25" customHeight="1">
      <c r="A158" s="917"/>
      <c r="B158" s="917"/>
      <c r="C158" s="917"/>
      <c r="D158" s="917"/>
      <c r="E158" s="917"/>
      <c r="F158" s="1563"/>
      <c r="G158" s="1563"/>
      <c r="H158" s="288"/>
      <c r="N158" s="1293"/>
      <c r="P158" s="1293"/>
      <c r="Q158" s="1563"/>
      <c r="R158" s="1563"/>
      <c r="S158" s="1293"/>
      <c r="T158" s="1293"/>
      <c r="U158" s="1293"/>
      <c r="V158" s="1293"/>
      <c r="W158" s="1563"/>
      <c r="X158" s="1293"/>
      <c r="Y158" s="1293"/>
      <c r="Z158" s="481"/>
      <c r="AA158" s="1293"/>
      <c r="AB158" s="1293"/>
      <c r="AC158" s="1293"/>
      <c r="AD158" s="1293"/>
      <c r="AE158" s="1293"/>
      <c r="AF158" s="1559"/>
      <c r="AG158" s="559"/>
      <c r="AH158" s="559"/>
      <c r="AI158" s="559"/>
      <c r="AJ158" s="559"/>
      <c r="AK158" s="1568">
        <v>11</v>
      </c>
    </row>
    <row r="159" spans="1:37" s="1568" customFormat="1" ht="11.25" customHeight="1">
      <c r="A159" s="917"/>
      <c r="B159" s="917"/>
      <c r="C159" s="917"/>
      <c r="D159" s="917"/>
      <c r="E159" s="917"/>
      <c r="F159" s="1563"/>
      <c r="G159" s="1563"/>
      <c r="H159" s="288"/>
      <c r="N159" s="1293"/>
      <c r="P159" s="1293"/>
      <c r="Q159" s="1563"/>
      <c r="R159" s="1563"/>
      <c r="S159" s="1293"/>
      <c r="T159" s="1293"/>
      <c r="U159" s="1293"/>
      <c r="V159" s="1293"/>
      <c r="W159" s="1563"/>
      <c r="X159" s="1293"/>
      <c r="Y159" s="1293"/>
      <c r="Z159" s="481"/>
      <c r="AA159" s="1293"/>
      <c r="AB159" s="1293"/>
      <c r="AC159" s="1293"/>
      <c r="AD159" s="1293"/>
      <c r="AE159" s="1293"/>
      <c r="AF159" s="1559"/>
      <c r="AG159" s="559"/>
      <c r="AH159" s="559"/>
      <c r="AI159" s="559"/>
      <c r="AJ159" s="559"/>
      <c r="AK159" s="1568">
        <v>11</v>
      </c>
    </row>
    <row r="160" spans="1:37" s="1568" customFormat="1" ht="11.25" customHeight="1">
      <c r="A160" s="917"/>
      <c r="B160" s="917"/>
      <c r="C160" s="917"/>
      <c r="D160" s="917"/>
      <c r="E160" s="917"/>
      <c r="F160" s="1563"/>
      <c r="G160" s="1563"/>
      <c r="H160" s="288"/>
      <c r="N160" s="1293"/>
      <c r="P160" s="1293"/>
      <c r="Q160" s="1563"/>
      <c r="R160" s="1563"/>
      <c r="S160" s="1293"/>
      <c r="T160" s="1293"/>
      <c r="U160" s="1293"/>
      <c r="V160" s="1293"/>
      <c r="W160" s="1563"/>
      <c r="X160" s="1293"/>
      <c r="Y160" s="1293"/>
      <c r="Z160" s="481"/>
      <c r="AA160" s="1293"/>
      <c r="AB160" s="1293"/>
      <c r="AC160" s="1293"/>
      <c r="AD160" s="1293"/>
      <c r="AE160" s="1293"/>
      <c r="AF160" s="1559"/>
      <c r="AG160" s="559"/>
      <c r="AH160" s="559"/>
      <c r="AI160" s="559"/>
      <c r="AJ160" s="559"/>
      <c r="AK160" s="1568">
        <v>11</v>
      </c>
    </row>
    <row r="161" spans="1:37" s="1568" customFormat="1" ht="11.25" customHeight="1">
      <c r="A161" s="917"/>
      <c r="B161" s="917"/>
      <c r="C161" s="917"/>
      <c r="D161" s="917"/>
      <c r="E161" s="917"/>
      <c r="F161" s="1563"/>
      <c r="G161" s="1563"/>
      <c r="H161" s="288"/>
      <c r="N161" s="1293"/>
      <c r="P161" s="1293"/>
      <c r="Q161" s="1563"/>
      <c r="R161" s="1563"/>
      <c r="S161" s="1293"/>
      <c r="T161" s="1293"/>
      <c r="U161" s="1293"/>
      <c r="V161" s="1293"/>
      <c r="W161" s="1563"/>
      <c r="X161" s="1293"/>
      <c r="Y161" s="1293"/>
      <c r="Z161" s="481"/>
      <c r="AA161" s="1293"/>
      <c r="AB161" s="1293"/>
      <c r="AC161" s="1293"/>
      <c r="AD161" s="1293"/>
      <c r="AE161" s="1293"/>
      <c r="AF161" s="1559"/>
      <c r="AG161" s="559"/>
      <c r="AH161" s="559"/>
      <c r="AI161" s="559"/>
      <c r="AJ161" s="559"/>
      <c r="AK161" s="1568">
        <v>11</v>
      </c>
    </row>
    <row r="162" spans="1:37" s="1568" customFormat="1" ht="11.25" customHeight="1">
      <c r="A162" s="917"/>
      <c r="B162" s="917"/>
      <c r="C162" s="917"/>
      <c r="D162" s="917"/>
      <c r="E162" s="917"/>
      <c r="F162" s="1563"/>
      <c r="G162" s="1563"/>
      <c r="H162" s="288"/>
      <c r="N162" s="1293"/>
      <c r="P162" s="1293"/>
      <c r="Q162" s="1563"/>
      <c r="R162" s="1563"/>
      <c r="S162" s="1293"/>
      <c r="T162" s="1293"/>
      <c r="U162" s="1293"/>
      <c r="V162" s="1293"/>
      <c r="W162" s="1563"/>
      <c r="X162" s="1293"/>
      <c r="Y162" s="1293"/>
      <c r="Z162" s="481"/>
      <c r="AA162" s="1293"/>
      <c r="AB162" s="1293"/>
      <c r="AC162" s="1293"/>
      <c r="AD162" s="1293"/>
      <c r="AE162" s="1293"/>
      <c r="AF162" s="1559"/>
      <c r="AG162" s="559"/>
      <c r="AH162" s="559"/>
      <c r="AI162" s="559"/>
      <c r="AJ162" s="559"/>
      <c r="AK162" s="1568">
        <v>11</v>
      </c>
    </row>
    <row r="163" spans="1:37" s="1568" customFormat="1" ht="11.25" customHeight="1">
      <c r="A163" s="917"/>
      <c r="B163" s="917"/>
      <c r="C163" s="917"/>
      <c r="D163" s="917"/>
      <c r="E163" s="917"/>
      <c r="F163" s="1563"/>
      <c r="G163" s="1563"/>
      <c r="H163" s="288"/>
      <c r="N163" s="1293"/>
      <c r="P163" s="1293"/>
      <c r="Q163" s="1563"/>
      <c r="R163" s="1563"/>
      <c r="S163" s="1293"/>
      <c r="T163" s="1293"/>
      <c r="U163" s="1293"/>
      <c r="V163" s="1293"/>
      <c r="W163" s="1563"/>
      <c r="X163" s="1293"/>
      <c r="Y163" s="1293"/>
      <c r="Z163" s="481"/>
      <c r="AA163" s="1293"/>
      <c r="AB163" s="1293"/>
      <c r="AC163" s="1293"/>
      <c r="AD163" s="1293"/>
      <c r="AE163" s="1293"/>
      <c r="AF163" s="1559"/>
      <c r="AG163" s="559"/>
      <c r="AH163" s="559"/>
      <c r="AI163" s="559"/>
      <c r="AJ163" s="559"/>
      <c r="AK163" s="1568">
        <v>11</v>
      </c>
    </row>
    <row r="164" spans="1:37" s="1568" customFormat="1" ht="11.25" customHeight="1">
      <c r="A164" s="917"/>
      <c r="B164" s="917"/>
      <c r="C164" s="917"/>
      <c r="D164" s="917"/>
      <c r="E164" s="917"/>
      <c r="F164" s="1563"/>
      <c r="G164" s="1563"/>
      <c r="H164" s="288"/>
      <c r="N164" s="1293"/>
      <c r="P164" s="1293"/>
      <c r="Q164" s="1563"/>
      <c r="R164" s="1563"/>
      <c r="S164" s="1293"/>
      <c r="T164" s="1293"/>
      <c r="U164" s="1293"/>
      <c r="V164" s="1293"/>
      <c r="W164" s="1563"/>
      <c r="X164" s="1293"/>
      <c r="Y164" s="1293"/>
      <c r="Z164" s="481"/>
      <c r="AA164" s="1293"/>
      <c r="AB164" s="1293"/>
      <c r="AC164" s="1293"/>
      <c r="AD164" s="1293"/>
      <c r="AE164" s="1293"/>
      <c r="AF164" s="1559"/>
      <c r="AG164" s="559"/>
      <c r="AH164" s="559"/>
      <c r="AI164" s="559"/>
      <c r="AJ164" s="559"/>
      <c r="AK164" s="1568">
        <v>11</v>
      </c>
    </row>
    <row r="165" spans="1:37" s="1568" customFormat="1" ht="11.25" customHeight="1">
      <c r="A165" s="917"/>
      <c r="B165" s="917"/>
      <c r="C165" s="917"/>
      <c r="D165" s="917"/>
      <c r="E165" s="917"/>
      <c r="F165" s="1563"/>
      <c r="G165" s="1563"/>
      <c r="H165" s="288"/>
      <c r="N165" s="1293"/>
      <c r="P165" s="1293"/>
      <c r="Q165" s="1563"/>
      <c r="R165" s="1563"/>
      <c r="S165" s="1293"/>
      <c r="T165" s="1293"/>
      <c r="U165" s="1293"/>
      <c r="V165" s="1293"/>
      <c r="W165" s="1563"/>
      <c r="X165" s="1293"/>
      <c r="Y165" s="1293"/>
      <c r="Z165" s="481"/>
      <c r="AA165" s="1293"/>
      <c r="AB165" s="1293"/>
      <c r="AC165" s="1293"/>
      <c r="AD165" s="1293"/>
      <c r="AE165" s="1293"/>
      <c r="AF165" s="1559"/>
      <c r="AG165" s="559"/>
      <c r="AH165" s="559"/>
      <c r="AI165" s="559"/>
      <c r="AJ165" s="559"/>
      <c r="AK165" s="1568">
        <v>11</v>
      </c>
    </row>
    <row r="166" spans="1:37" s="1568" customFormat="1" ht="11.25" customHeight="1">
      <c r="A166" s="917"/>
      <c r="B166" s="917"/>
      <c r="C166" s="917"/>
      <c r="D166" s="917"/>
      <c r="E166" s="917"/>
      <c r="F166" s="1563"/>
      <c r="G166" s="1563"/>
      <c r="H166" s="288"/>
      <c r="N166" s="1293"/>
      <c r="P166" s="1293"/>
      <c r="Q166" s="1563"/>
      <c r="R166" s="1563"/>
      <c r="S166" s="1293"/>
      <c r="T166" s="1293"/>
      <c r="U166" s="1293"/>
      <c r="V166" s="1293"/>
      <c r="W166" s="1563"/>
      <c r="X166" s="1293"/>
      <c r="Y166" s="1293"/>
      <c r="Z166" s="481"/>
      <c r="AA166" s="1293"/>
      <c r="AB166" s="1293"/>
      <c r="AC166" s="1293"/>
      <c r="AD166" s="1293"/>
      <c r="AE166" s="1293"/>
      <c r="AF166" s="1559"/>
      <c r="AG166" s="559"/>
      <c r="AH166" s="559"/>
      <c r="AI166" s="559"/>
      <c r="AJ166" s="559"/>
      <c r="AK166" s="1568">
        <v>11</v>
      </c>
    </row>
    <row r="167" spans="1:37" s="1568" customFormat="1" ht="11.25" customHeight="1">
      <c r="A167" s="917"/>
      <c r="B167" s="917"/>
      <c r="C167" s="917"/>
      <c r="D167" s="917"/>
      <c r="E167" s="917"/>
      <c r="F167" s="1563"/>
      <c r="G167" s="1563"/>
      <c r="H167" s="288"/>
      <c r="N167" s="1293"/>
      <c r="P167" s="1293"/>
      <c r="Q167" s="1563"/>
      <c r="R167" s="1563"/>
      <c r="S167" s="1293"/>
      <c r="T167" s="1293"/>
      <c r="U167" s="1293"/>
      <c r="V167" s="1293"/>
      <c r="W167" s="1563"/>
      <c r="X167" s="1293"/>
      <c r="Y167" s="1293"/>
      <c r="Z167" s="481"/>
      <c r="AA167" s="1293"/>
      <c r="AB167" s="1293"/>
      <c r="AC167" s="1293"/>
      <c r="AD167" s="1293"/>
      <c r="AE167" s="1293"/>
      <c r="AF167" s="1559"/>
      <c r="AG167" s="559"/>
      <c r="AH167" s="559"/>
      <c r="AI167" s="559"/>
      <c r="AJ167" s="559"/>
      <c r="AK167" s="1568">
        <v>11</v>
      </c>
    </row>
    <row r="168" spans="1:37" s="1568" customFormat="1" ht="11.25" customHeight="1">
      <c r="A168" s="917"/>
      <c r="B168" s="917"/>
      <c r="C168" s="917"/>
      <c r="D168" s="917"/>
      <c r="E168" s="917"/>
      <c r="F168" s="1563"/>
      <c r="G168" s="1563"/>
      <c r="H168" s="288"/>
      <c r="N168" s="1293"/>
      <c r="P168" s="1293"/>
      <c r="Q168" s="1563"/>
      <c r="R168" s="1563"/>
      <c r="S168" s="1293"/>
      <c r="T168" s="1293"/>
      <c r="U168" s="1293"/>
      <c r="V168" s="1293"/>
      <c r="W168" s="1563"/>
      <c r="X168" s="1293"/>
      <c r="Y168" s="1293"/>
      <c r="Z168" s="481"/>
      <c r="AA168" s="1293"/>
      <c r="AB168" s="1293"/>
      <c r="AC168" s="1293"/>
      <c r="AD168" s="1293"/>
      <c r="AE168" s="1293"/>
      <c r="AF168" s="1559"/>
      <c r="AG168" s="559"/>
      <c r="AH168" s="559"/>
      <c r="AI168" s="559"/>
      <c r="AJ168" s="559"/>
      <c r="AK168" s="1568">
        <v>11</v>
      </c>
    </row>
    <row r="169" spans="1:37" s="1568" customFormat="1" ht="11.25" customHeight="1">
      <c r="A169" s="917"/>
      <c r="B169" s="917"/>
      <c r="C169" s="917"/>
      <c r="D169" s="917"/>
      <c r="E169" s="917"/>
      <c r="F169" s="1563"/>
      <c r="G169" s="1563"/>
      <c r="H169" s="288"/>
      <c r="N169" s="1293"/>
      <c r="P169" s="1293"/>
      <c r="Q169" s="1563"/>
      <c r="R169" s="1563"/>
      <c r="S169" s="1293"/>
      <c r="T169" s="1293"/>
      <c r="U169" s="1293"/>
      <c r="V169" s="1293"/>
      <c r="W169" s="1563"/>
      <c r="X169" s="1293"/>
      <c r="Y169" s="1293"/>
      <c r="Z169" s="481"/>
      <c r="AA169" s="1293"/>
      <c r="AB169" s="1293"/>
      <c r="AC169" s="1293"/>
      <c r="AD169" s="1293"/>
      <c r="AE169" s="1293"/>
      <c r="AF169" s="1559"/>
      <c r="AG169" s="559"/>
      <c r="AH169" s="559"/>
      <c r="AI169" s="559"/>
      <c r="AJ169" s="559"/>
      <c r="AK169" s="1568">
        <v>11</v>
      </c>
    </row>
    <row r="170" spans="1:37" s="1568" customFormat="1" ht="11.25" customHeight="1">
      <c r="A170" s="917"/>
      <c r="B170" s="917"/>
      <c r="C170" s="917"/>
      <c r="D170" s="917"/>
      <c r="E170" s="917"/>
      <c r="F170" s="1563"/>
      <c r="G170" s="1563"/>
      <c r="H170" s="288"/>
      <c r="N170" s="1293"/>
      <c r="P170" s="1293"/>
      <c r="Q170" s="1563"/>
      <c r="R170" s="1563"/>
      <c r="S170" s="1293"/>
      <c r="T170" s="1293"/>
      <c r="U170" s="1293"/>
      <c r="V170" s="1293"/>
      <c r="W170" s="1563"/>
      <c r="X170" s="1293"/>
      <c r="Y170" s="1293"/>
      <c r="Z170" s="481"/>
      <c r="AA170" s="1293"/>
      <c r="AB170" s="1293"/>
      <c r="AC170" s="1293"/>
      <c r="AD170" s="1293"/>
      <c r="AE170" s="1293"/>
      <c r="AF170" s="1559"/>
      <c r="AG170" s="559"/>
      <c r="AH170" s="559"/>
      <c r="AI170" s="559"/>
      <c r="AJ170" s="559"/>
      <c r="AK170" s="1568">
        <v>11</v>
      </c>
    </row>
    <row r="171" spans="1:37" s="1568" customFormat="1" ht="11.25" customHeight="1">
      <c r="A171" s="917"/>
      <c r="B171" s="917"/>
      <c r="C171" s="917"/>
      <c r="D171" s="917"/>
      <c r="E171" s="917"/>
      <c r="F171" s="1563"/>
      <c r="G171" s="1563"/>
      <c r="H171" s="288"/>
      <c r="N171" s="1293"/>
      <c r="P171" s="1293"/>
      <c r="Q171" s="1563"/>
      <c r="R171" s="1563"/>
      <c r="S171" s="1293"/>
      <c r="T171" s="1293"/>
      <c r="U171" s="1293"/>
      <c r="V171" s="1293"/>
      <c r="W171" s="1563"/>
      <c r="X171" s="1293"/>
      <c r="Y171" s="1293"/>
      <c r="Z171" s="481"/>
      <c r="AA171" s="1293"/>
      <c r="AB171" s="1293"/>
      <c r="AC171" s="1293"/>
      <c r="AD171" s="1293"/>
      <c r="AE171" s="1293"/>
      <c r="AF171" s="1559"/>
      <c r="AG171" s="559"/>
      <c r="AH171" s="559"/>
      <c r="AI171" s="559"/>
      <c r="AJ171" s="559"/>
      <c r="AK171" s="1568">
        <v>11</v>
      </c>
    </row>
    <row r="172" spans="1:37" s="1568" customFormat="1" ht="11.25" customHeight="1">
      <c r="A172" s="917"/>
      <c r="B172" s="917"/>
      <c r="C172" s="917"/>
      <c r="D172" s="917"/>
      <c r="E172" s="917"/>
      <c r="F172" s="1563"/>
      <c r="G172" s="1563"/>
      <c r="H172" s="288"/>
      <c r="N172" s="1293"/>
      <c r="P172" s="1293"/>
      <c r="Q172" s="1563"/>
      <c r="R172" s="1563"/>
      <c r="S172" s="1293"/>
      <c r="T172" s="1293"/>
      <c r="U172" s="1293"/>
      <c r="V172" s="1293"/>
      <c r="W172" s="1563"/>
      <c r="X172" s="1293"/>
      <c r="Y172" s="1293"/>
      <c r="Z172" s="481"/>
      <c r="AA172" s="1293"/>
      <c r="AB172" s="1293"/>
      <c r="AC172" s="1293"/>
      <c r="AD172" s="1293"/>
      <c r="AE172" s="1293"/>
      <c r="AF172" s="1559"/>
      <c r="AG172" s="559"/>
      <c r="AH172" s="559"/>
      <c r="AI172" s="559"/>
      <c r="AJ172" s="559"/>
      <c r="AK172" s="1568">
        <v>11</v>
      </c>
    </row>
    <row r="173" spans="1:37" s="1568" customFormat="1" ht="11.25" customHeight="1">
      <c r="A173" s="917"/>
      <c r="B173" s="917"/>
      <c r="C173" s="917"/>
      <c r="D173" s="917"/>
      <c r="E173" s="917"/>
      <c r="F173" s="1563"/>
      <c r="G173" s="1563"/>
      <c r="H173" s="288"/>
      <c r="N173" s="1293"/>
      <c r="P173" s="1293"/>
      <c r="Q173" s="1563"/>
      <c r="R173" s="1563"/>
      <c r="S173" s="1293"/>
      <c r="T173" s="1293"/>
      <c r="U173" s="1293"/>
      <c r="V173" s="1293"/>
      <c r="W173" s="1563"/>
      <c r="X173" s="1293"/>
      <c r="Y173" s="1293"/>
      <c r="Z173" s="481"/>
      <c r="AA173" s="1293"/>
      <c r="AB173" s="1293"/>
      <c r="AC173" s="1293"/>
      <c r="AD173" s="1293"/>
      <c r="AE173" s="1293"/>
      <c r="AF173" s="1559"/>
      <c r="AG173" s="559"/>
      <c r="AH173" s="559"/>
      <c r="AI173" s="559"/>
      <c r="AJ173" s="559"/>
      <c r="AK173" s="1568">
        <v>11</v>
      </c>
    </row>
    <row r="174" spans="1:37" s="1568" customFormat="1" ht="11.25" customHeight="1">
      <c r="A174" s="917"/>
      <c r="B174" s="917"/>
      <c r="C174" s="917"/>
      <c r="D174" s="917"/>
      <c r="E174" s="917"/>
      <c r="F174" s="1563"/>
      <c r="G174" s="1563"/>
      <c r="H174" s="288"/>
      <c r="N174" s="1293"/>
      <c r="P174" s="1293"/>
      <c r="Q174" s="1563"/>
      <c r="R174" s="1563"/>
      <c r="S174" s="1293"/>
      <c r="T174" s="1293"/>
      <c r="U174" s="1293"/>
      <c r="V174" s="1293"/>
      <c r="W174" s="1563"/>
      <c r="X174" s="1293"/>
      <c r="Y174" s="1293"/>
      <c r="Z174" s="481"/>
      <c r="AA174" s="1293"/>
      <c r="AB174" s="1293"/>
      <c r="AC174" s="1293"/>
      <c r="AD174" s="1293"/>
      <c r="AE174" s="1293"/>
      <c r="AF174" s="1559"/>
      <c r="AG174" s="559"/>
      <c r="AH174" s="559"/>
      <c r="AI174" s="559"/>
      <c r="AJ174" s="559"/>
      <c r="AK174" s="1568">
        <v>11</v>
      </c>
    </row>
    <row r="175" spans="1:37" s="1568" customFormat="1" ht="11.25" customHeight="1">
      <c r="A175" s="917"/>
      <c r="B175" s="917"/>
      <c r="C175" s="917"/>
      <c r="D175" s="917"/>
      <c r="E175" s="917"/>
      <c r="F175" s="1563"/>
      <c r="G175" s="1563"/>
      <c r="H175" s="288"/>
      <c r="N175" s="1293"/>
      <c r="P175" s="1293"/>
      <c r="Q175" s="1563"/>
      <c r="R175" s="1563"/>
      <c r="S175" s="1293"/>
      <c r="T175" s="1293"/>
      <c r="U175" s="1293"/>
      <c r="V175" s="1293"/>
      <c r="W175" s="1563"/>
      <c r="X175" s="1293"/>
      <c r="Y175" s="1293"/>
      <c r="Z175" s="481"/>
      <c r="AA175" s="1293"/>
      <c r="AB175" s="1293"/>
      <c r="AC175" s="1293"/>
      <c r="AD175" s="1293"/>
      <c r="AE175" s="1293"/>
      <c r="AF175" s="1559"/>
      <c r="AG175" s="559"/>
      <c r="AH175" s="559"/>
      <c r="AI175" s="559"/>
      <c r="AJ175" s="559"/>
      <c r="AK175" s="1568">
        <v>11</v>
      </c>
    </row>
    <row r="176" spans="1:37" s="1568" customFormat="1" ht="11.25" customHeight="1">
      <c r="A176" s="917"/>
      <c r="B176" s="917"/>
      <c r="C176" s="917"/>
      <c r="D176" s="917"/>
      <c r="E176" s="917"/>
      <c r="F176" s="1563"/>
      <c r="G176" s="1563"/>
      <c r="H176" s="288"/>
      <c r="N176" s="1293"/>
      <c r="P176" s="1293"/>
      <c r="Q176" s="1563"/>
      <c r="R176" s="1563"/>
      <c r="S176" s="1293"/>
      <c r="T176" s="1293"/>
      <c r="U176" s="1293"/>
      <c r="V176" s="1293"/>
      <c r="W176" s="1563"/>
      <c r="X176" s="1293"/>
      <c r="Y176" s="1293"/>
      <c r="Z176" s="481"/>
      <c r="AA176" s="1293"/>
      <c r="AB176" s="1293"/>
      <c r="AC176" s="1293"/>
      <c r="AD176" s="1293"/>
      <c r="AE176" s="1293"/>
      <c r="AF176" s="1559"/>
      <c r="AG176" s="559"/>
      <c r="AH176" s="559"/>
      <c r="AI176" s="559"/>
      <c r="AJ176" s="559"/>
      <c r="AK176" s="1568">
        <v>11</v>
      </c>
    </row>
    <row r="177" spans="1:37" s="1568" customFormat="1" ht="11.25" customHeight="1">
      <c r="A177" s="917"/>
      <c r="B177" s="917"/>
      <c r="C177" s="917"/>
      <c r="D177" s="917"/>
      <c r="E177" s="917"/>
      <c r="F177" s="1563"/>
      <c r="G177" s="1563"/>
      <c r="H177" s="288"/>
      <c r="N177" s="1293"/>
      <c r="P177" s="1293"/>
      <c r="Q177" s="1563"/>
      <c r="R177" s="1563"/>
      <c r="S177" s="1293"/>
      <c r="T177" s="1293"/>
      <c r="U177" s="1293"/>
      <c r="V177" s="1293"/>
      <c r="W177" s="1563"/>
      <c r="X177" s="1293"/>
      <c r="Y177" s="1293"/>
      <c r="Z177" s="481"/>
      <c r="AA177" s="1293"/>
      <c r="AB177" s="1293"/>
      <c r="AC177" s="1293"/>
      <c r="AD177" s="1293"/>
      <c r="AE177" s="1293"/>
      <c r="AF177" s="1559"/>
      <c r="AG177" s="559"/>
      <c r="AH177" s="559"/>
      <c r="AI177" s="559"/>
      <c r="AJ177" s="559"/>
      <c r="AK177" s="1568">
        <v>11</v>
      </c>
    </row>
    <row r="178" spans="1:37" s="1568" customFormat="1" ht="11.25" customHeight="1">
      <c r="A178" s="917"/>
      <c r="B178" s="917"/>
      <c r="C178" s="917"/>
      <c r="D178" s="917"/>
      <c r="E178" s="917"/>
      <c r="F178" s="1563"/>
      <c r="G178" s="1563"/>
      <c r="H178" s="288"/>
      <c r="N178" s="1293"/>
      <c r="P178" s="1293"/>
      <c r="Q178" s="1563"/>
      <c r="R178" s="1563"/>
      <c r="S178" s="1293"/>
      <c r="T178" s="1293"/>
      <c r="U178" s="1293"/>
      <c r="V178" s="1293"/>
      <c r="W178" s="1563"/>
      <c r="X178" s="1293"/>
      <c r="Y178" s="1293"/>
      <c r="Z178" s="481"/>
      <c r="AA178" s="1293"/>
      <c r="AB178" s="1293"/>
      <c r="AC178" s="1293"/>
      <c r="AD178" s="1293"/>
      <c r="AE178" s="1293"/>
      <c r="AF178" s="1559"/>
      <c r="AG178" s="559"/>
      <c r="AH178" s="559"/>
      <c r="AI178" s="559"/>
      <c r="AJ178" s="559"/>
      <c r="AK178" s="1568">
        <v>11</v>
      </c>
    </row>
    <row r="179" spans="1:37" s="1568" customFormat="1" ht="11.25" customHeight="1">
      <c r="A179" s="917"/>
      <c r="B179" s="917"/>
      <c r="C179" s="917"/>
      <c r="D179" s="917"/>
      <c r="E179" s="917"/>
      <c r="F179" s="1563"/>
      <c r="G179" s="1563"/>
      <c r="H179" s="288"/>
      <c r="N179" s="1293"/>
      <c r="P179" s="1293"/>
      <c r="Q179" s="1563"/>
      <c r="R179" s="1563"/>
      <c r="S179" s="1293"/>
      <c r="T179" s="1293"/>
      <c r="U179" s="1293"/>
      <c r="V179" s="1293"/>
      <c r="W179" s="1563"/>
      <c r="X179" s="1293"/>
      <c r="Y179" s="1293"/>
      <c r="Z179" s="481"/>
      <c r="AA179" s="1293"/>
      <c r="AB179" s="1293"/>
      <c r="AC179" s="1293"/>
      <c r="AD179" s="1293"/>
      <c r="AE179" s="1293"/>
      <c r="AF179" s="1559"/>
      <c r="AG179" s="559"/>
      <c r="AH179" s="559"/>
      <c r="AI179" s="559"/>
      <c r="AJ179" s="559"/>
      <c r="AK179" s="1568">
        <v>11</v>
      </c>
    </row>
    <row r="180" spans="1:37" s="1568" customFormat="1" ht="11.25" customHeight="1">
      <c r="A180" s="917"/>
      <c r="B180" s="917"/>
      <c r="C180" s="917"/>
      <c r="D180" s="917"/>
      <c r="E180" s="917"/>
      <c r="F180" s="1563"/>
      <c r="G180" s="1563"/>
      <c r="H180" s="288"/>
      <c r="N180" s="1293"/>
      <c r="P180" s="1293"/>
      <c r="Q180" s="1563"/>
      <c r="R180" s="1563"/>
      <c r="S180" s="1293"/>
      <c r="T180" s="1293"/>
      <c r="U180" s="1293"/>
      <c r="V180" s="1293"/>
      <c r="W180" s="1563"/>
      <c r="X180" s="1293"/>
      <c r="Y180" s="1293"/>
      <c r="Z180" s="481"/>
      <c r="AA180" s="1293"/>
      <c r="AB180" s="1293"/>
      <c r="AC180" s="1293"/>
      <c r="AD180" s="1293"/>
      <c r="AE180" s="1293"/>
      <c r="AF180" s="1559"/>
      <c r="AG180" s="559"/>
      <c r="AH180" s="559"/>
      <c r="AI180" s="559"/>
      <c r="AJ180" s="559"/>
      <c r="AK180" s="1568">
        <v>11</v>
      </c>
    </row>
    <row r="181" spans="1:37" s="1568" customFormat="1" ht="11.25" customHeight="1">
      <c r="A181" s="917"/>
      <c r="B181" s="917"/>
      <c r="C181" s="917"/>
      <c r="D181" s="917"/>
      <c r="E181" s="917"/>
      <c r="F181" s="1563"/>
      <c r="G181" s="1563"/>
      <c r="H181" s="288"/>
      <c r="N181" s="1293"/>
      <c r="P181" s="1293"/>
      <c r="Q181" s="1563"/>
      <c r="R181" s="1563"/>
      <c r="S181" s="1293"/>
      <c r="T181" s="1293"/>
      <c r="U181" s="1293"/>
      <c r="V181" s="1293"/>
      <c r="W181" s="1563"/>
      <c r="X181" s="1293"/>
      <c r="Y181" s="1293"/>
      <c r="Z181" s="481"/>
      <c r="AA181" s="1293"/>
      <c r="AB181" s="1293"/>
      <c r="AC181" s="1293"/>
      <c r="AD181" s="1293"/>
      <c r="AE181" s="1293"/>
      <c r="AF181" s="1559"/>
      <c r="AG181" s="559"/>
      <c r="AH181" s="559"/>
      <c r="AI181" s="559"/>
      <c r="AJ181" s="559"/>
      <c r="AK181" s="1568">
        <v>11</v>
      </c>
    </row>
    <row r="182" spans="1:37" s="1568" customFormat="1" ht="11.25" customHeight="1">
      <c r="A182" s="917"/>
      <c r="B182" s="917"/>
      <c r="C182" s="917"/>
      <c r="D182" s="917"/>
      <c r="E182" s="917"/>
      <c r="F182" s="1563"/>
      <c r="G182" s="1563"/>
      <c r="H182" s="288"/>
      <c r="N182" s="1293"/>
      <c r="P182" s="1293"/>
      <c r="Q182" s="1563"/>
      <c r="R182" s="1563"/>
      <c r="S182" s="1293"/>
      <c r="T182" s="1293"/>
      <c r="U182" s="1293"/>
      <c r="V182" s="1293"/>
      <c r="W182" s="1563"/>
      <c r="X182" s="1293"/>
      <c r="Y182" s="1293"/>
      <c r="Z182" s="481"/>
      <c r="AA182" s="1293"/>
      <c r="AB182" s="1293"/>
      <c r="AC182" s="1293"/>
      <c r="AD182" s="1293"/>
      <c r="AE182" s="1293"/>
      <c r="AF182" s="1559"/>
      <c r="AG182" s="559"/>
      <c r="AH182" s="559"/>
      <c r="AI182" s="559"/>
      <c r="AJ182" s="559"/>
      <c r="AK182" s="1568">
        <v>11</v>
      </c>
    </row>
    <row r="183" spans="1:37" s="1568" customFormat="1" ht="11.25" customHeight="1">
      <c r="A183" s="917"/>
      <c r="B183" s="917"/>
      <c r="C183" s="917"/>
      <c r="D183" s="917"/>
      <c r="E183" s="917"/>
      <c r="F183" s="1563"/>
      <c r="G183" s="1563"/>
      <c r="H183" s="288"/>
      <c r="N183" s="1293"/>
      <c r="P183" s="1293"/>
      <c r="Q183" s="1563"/>
      <c r="R183" s="1563"/>
      <c r="S183" s="1293"/>
      <c r="T183" s="1293"/>
      <c r="U183" s="1293"/>
      <c r="V183" s="1293"/>
      <c r="W183" s="1563"/>
      <c r="X183" s="1293"/>
      <c r="Y183" s="1293"/>
      <c r="Z183" s="481"/>
      <c r="AA183" s="1293"/>
      <c r="AB183" s="1293"/>
      <c r="AC183" s="1293"/>
      <c r="AD183" s="1293"/>
      <c r="AE183" s="1293"/>
      <c r="AF183" s="1559"/>
      <c r="AG183" s="559"/>
      <c r="AH183" s="559"/>
      <c r="AI183" s="559"/>
      <c r="AJ183" s="559"/>
      <c r="AK183" s="1568">
        <v>11</v>
      </c>
    </row>
    <row r="184" spans="1:37" s="1568" customFormat="1" ht="11.25" customHeight="1">
      <c r="A184" s="917"/>
      <c r="B184" s="917"/>
      <c r="C184" s="917"/>
      <c r="D184" s="917"/>
      <c r="E184" s="917"/>
      <c r="F184" s="1563"/>
      <c r="G184" s="1563"/>
      <c r="H184" s="288"/>
      <c r="N184" s="1293"/>
      <c r="P184" s="1293"/>
      <c r="Q184" s="1563"/>
      <c r="R184" s="1563"/>
      <c r="S184" s="1293"/>
      <c r="T184" s="1293"/>
      <c r="U184" s="1293"/>
      <c r="V184" s="1293"/>
      <c r="W184" s="1563"/>
      <c r="X184" s="1293"/>
      <c r="Y184" s="1293"/>
      <c r="Z184" s="481"/>
      <c r="AA184" s="1293"/>
      <c r="AB184" s="1293"/>
      <c r="AC184" s="1293"/>
      <c r="AD184" s="1293"/>
      <c r="AE184" s="1293"/>
      <c r="AF184" s="1559"/>
      <c r="AG184" s="559"/>
      <c r="AH184" s="559"/>
      <c r="AI184" s="559"/>
      <c r="AJ184" s="559"/>
      <c r="AK184" s="1568">
        <v>11</v>
      </c>
    </row>
    <row r="185" spans="1:37" s="1568" customFormat="1" ht="11.25" customHeight="1">
      <c r="A185" s="917"/>
      <c r="B185" s="917"/>
      <c r="C185" s="917"/>
      <c r="D185" s="917"/>
      <c r="E185" s="917"/>
      <c r="F185" s="1563"/>
      <c r="G185" s="1563"/>
      <c r="H185" s="288"/>
      <c r="N185" s="1293"/>
      <c r="P185" s="1293"/>
      <c r="Q185" s="1563"/>
      <c r="R185" s="1563"/>
      <c r="S185" s="1293"/>
      <c r="T185" s="1293"/>
      <c r="U185" s="1293"/>
      <c r="V185" s="1293"/>
      <c r="W185" s="1563"/>
      <c r="X185" s="1293"/>
      <c r="Y185" s="1293"/>
      <c r="Z185" s="481"/>
      <c r="AA185" s="1293"/>
      <c r="AB185" s="1293"/>
      <c r="AC185" s="1293"/>
      <c r="AD185" s="1293"/>
      <c r="AE185" s="1293"/>
      <c r="AF185" s="1559"/>
      <c r="AG185" s="559"/>
      <c r="AH185" s="559"/>
      <c r="AI185" s="559"/>
      <c r="AJ185" s="559"/>
      <c r="AK185" s="1568">
        <v>11</v>
      </c>
    </row>
    <row r="186" spans="1:37" s="1568" customFormat="1" ht="11.25" customHeight="1">
      <c r="A186" s="917"/>
      <c r="B186" s="917"/>
      <c r="C186" s="917"/>
      <c r="D186" s="917"/>
      <c r="E186" s="917"/>
      <c r="F186" s="1563"/>
      <c r="G186" s="1563"/>
      <c r="H186" s="288"/>
      <c r="N186" s="1293"/>
      <c r="P186" s="1293"/>
      <c r="Q186" s="1563"/>
      <c r="R186" s="1563"/>
      <c r="S186" s="1293"/>
      <c r="T186" s="1293"/>
      <c r="U186" s="1293"/>
      <c r="V186" s="1293"/>
      <c r="W186" s="1563"/>
      <c r="X186" s="1293"/>
      <c r="Y186" s="1293"/>
      <c r="Z186" s="481"/>
      <c r="AA186" s="1293"/>
      <c r="AB186" s="1293"/>
      <c r="AC186" s="1293"/>
      <c r="AD186" s="1293"/>
      <c r="AE186" s="1293"/>
      <c r="AF186" s="1559"/>
      <c r="AG186" s="559"/>
      <c r="AH186" s="559"/>
      <c r="AI186" s="559"/>
      <c r="AJ186" s="559"/>
      <c r="AK186" s="1568">
        <v>11</v>
      </c>
    </row>
    <row r="187" spans="1:37" s="1568" customFormat="1" ht="11.25" customHeight="1">
      <c r="A187" s="917"/>
      <c r="B187" s="917"/>
      <c r="C187" s="917"/>
      <c r="D187" s="917"/>
      <c r="E187" s="917"/>
      <c r="F187" s="1563"/>
      <c r="G187" s="1563"/>
      <c r="H187" s="288"/>
      <c r="N187" s="1293"/>
      <c r="P187" s="1293"/>
      <c r="Q187" s="1563"/>
      <c r="R187" s="1563"/>
      <c r="S187" s="1293"/>
      <c r="T187" s="1293"/>
      <c r="U187" s="1293"/>
      <c r="V187" s="1293"/>
      <c r="W187" s="1563"/>
      <c r="X187" s="1293"/>
      <c r="Y187" s="1293"/>
      <c r="Z187" s="481"/>
      <c r="AA187" s="1293"/>
      <c r="AB187" s="1293"/>
      <c r="AC187" s="1293"/>
      <c r="AD187" s="1293"/>
      <c r="AE187" s="1293"/>
      <c r="AF187" s="1559"/>
      <c r="AG187" s="559"/>
      <c r="AH187" s="559"/>
      <c r="AI187" s="559"/>
      <c r="AJ187" s="559"/>
      <c r="AK187" s="1568">
        <v>11</v>
      </c>
    </row>
    <row r="188" spans="1:37" s="1568" customFormat="1" ht="11.25" customHeight="1">
      <c r="A188" s="917"/>
      <c r="B188" s="917"/>
      <c r="C188" s="917"/>
      <c r="D188" s="917"/>
      <c r="E188" s="917"/>
      <c r="F188" s="1563"/>
      <c r="G188" s="1563"/>
      <c r="H188" s="288"/>
      <c r="N188" s="1293"/>
      <c r="P188" s="1293"/>
      <c r="Q188" s="1563"/>
      <c r="R188" s="1563"/>
      <c r="S188" s="1293"/>
      <c r="T188" s="1293"/>
      <c r="U188" s="1293"/>
      <c r="V188" s="1293"/>
      <c r="W188" s="1563"/>
      <c r="X188" s="1293"/>
      <c r="Y188" s="1293"/>
      <c r="Z188" s="481"/>
      <c r="AA188" s="1293"/>
      <c r="AB188" s="1293"/>
      <c r="AC188" s="1293"/>
      <c r="AD188" s="1293"/>
      <c r="AE188" s="1293"/>
      <c r="AF188" s="1559"/>
      <c r="AG188" s="559"/>
      <c r="AH188" s="559"/>
      <c r="AI188" s="559"/>
      <c r="AJ188" s="559"/>
      <c r="AK188" s="1568">
        <v>11</v>
      </c>
    </row>
    <row r="189" spans="1:37" s="1568" customFormat="1" ht="11.25" customHeight="1">
      <c r="A189" s="917"/>
      <c r="B189" s="917"/>
      <c r="C189" s="917"/>
      <c r="D189" s="917"/>
      <c r="E189" s="917"/>
      <c r="F189" s="1563"/>
      <c r="G189" s="1563"/>
      <c r="H189" s="288"/>
      <c r="N189" s="1293"/>
      <c r="P189" s="1293"/>
      <c r="Q189" s="1563"/>
      <c r="R189" s="1563"/>
      <c r="S189" s="1293"/>
      <c r="T189" s="1293"/>
      <c r="U189" s="1293"/>
      <c r="V189" s="1293"/>
      <c r="W189" s="1563"/>
      <c r="X189" s="1293"/>
      <c r="Y189" s="1293"/>
      <c r="Z189" s="481"/>
      <c r="AA189" s="1293"/>
      <c r="AB189" s="1293"/>
      <c r="AC189" s="1293"/>
      <c r="AD189" s="1293"/>
      <c r="AE189" s="1293"/>
      <c r="AF189" s="1559"/>
      <c r="AG189" s="559"/>
      <c r="AH189" s="559"/>
      <c r="AI189" s="559"/>
      <c r="AJ189" s="559"/>
      <c r="AK189" s="1568">
        <v>11</v>
      </c>
    </row>
    <row r="190" spans="1:37" ht="11.25" customHeight="1">
      <c r="AK190" s="1558">
        <v>11</v>
      </c>
    </row>
    <row r="191" spans="1:37" ht="11.25" customHeight="1">
      <c r="AK191" s="1558">
        <v>11</v>
      </c>
    </row>
    <row r="192" spans="1:37" ht="11.25" customHeight="1">
      <c r="AK192" s="1558">
        <v>11</v>
      </c>
    </row>
    <row r="193" spans="1:37" ht="11.25" customHeight="1">
      <c r="A193" s="920"/>
      <c r="B193" s="920"/>
      <c r="C193" s="920"/>
      <c r="D193" s="920"/>
      <c r="E193" s="920"/>
      <c r="F193" s="1558"/>
      <c r="H193" s="1558"/>
      <c r="N193" s="1558"/>
      <c r="P193" s="1558"/>
      <c r="S193" s="1558"/>
      <c r="T193" s="1558"/>
      <c r="U193" s="1558"/>
      <c r="V193" s="1558"/>
      <c r="X193" s="1558"/>
      <c r="Y193" s="1558"/>
      <c r="Z193" s="1558"/>
      <c r="AA193" s="1558"/>
      <c r="AB193" s="1558"/>
      <c r="AC193" s="1558"/>
      <c r="AD193" s="1558"/>
      <c r="AE193" s="1558"/>
      <c r="AF193" s="1558"/>
      <c r="AG193" s="1558"/>
      <c r="AH193" s="1558"/>
      <c r="AI193" s="1558"/>
      <c r="AJ193" s="1558"/>
      <c r="AK193" s="1558">
        <v>11</v>
      </c>
    </row>
    <row r="194" spans="1:37" ht="11.25" customHeight="1">
      <c r="A194" s="920"/>
      <c r="B194" s="920"/>
      <c r="C194" s="920"/>
      <c r="D194" s="920"/>
      <c r="E194" s="920"/>
      <c r="F194" s="1558"/>
      <c r="H194" s="1558"/>
      <c r="N194" s="1558"/>
      <c r="P194" s="1558"/>
      <c r="S194" s="1558"/>
      <c r="T194" s="1558"/>
      <c r="U194" s="1558"/>
      <c r="V194" s="1558"/>
      <c r="X194" s="1558"/>
      <c r="Y194" s="1558"/>
      <c r="Z194" s="1558"/>
      <c r="AA194" s="1558"/>
      <c r="AB194" s="1558"/>
      <c r="AC194" s="1558"/>
      <c r="AD194" s="1558"/>
      <c r="AE194" s="1558"/>
      <c r="AF194" s="1558"/>
      <c r="AG194" s="1558"/>
      <c r="AH194" s="1558"/>
      <c r="AI194" s="1558"/>
      <c r="AJ194" s="1558"/>
      <c r="AK194" s="1558">
        <v>11</v>
      </c>
    </row>
    <row r="195" spans="1:37" ht="11.25" customHeight="1">
      <c r="A195" s="920"/>
      <c r="B195" s="920"/>
      <c r="C195" s="920"/>
      <c r="D195" s="920"/>
      <c r="E195" s="920"/>
      <c r="F195" s="1558"/>
      <c r="H195" s="1558"/>
      <c r="N195" s="1558"/>
      <c r="P195" s="1558"/>
      <c r="S195" s="1558"/>
      <c r="T195" s="1558"/>
      <c r="U195" s="1558"/>
      <c r="V195" s="1558"/>
      <c r="X195" s="1558"/>
      <c r="Y195" s="1558"/>
      <c r="Z195" s="1558"/>
      <c r="AA195" s="1558"/>
      <c r="AB195" s="1558"/>
      <c r="AC195" s="1558"/>
      <c r="AD195" s="1558"/>
      <c r="AE195" s="1558"/>
      <c r="AF195" s="1558"/>
      <c r="AG195" s="1558"/>
      <c r="AH195" s="1558"/>
      <c r="AI195" s="1558"/>
      <c r="AJ195" s="1558"/>
      <c r="AK195" s="1558">
        <v>11</v>
      </c>
    </row>
    <row r="196" spans="1:37" ht="11.25" customHeight="1">
      <c r="A196" s="920"/>
      <c r="B196" s="920"/>
      <c r="C196" s="920"/>
      <c r="D196" s="920"/>
      <c r="E196" s="920"/>
      <c r="F196" s="1558"/>
      <c r="H196" s="1558"/>
      <c r="N196" s="1558"/>
      <c r="P196" s="1558"/>
      <c r="S196" s="1558"/>
      <c r="T196" s="1558"/>
      <c r="U196" s="1558"/>
      <c r="V196" s="1558"/>
      <c r="X196" s="1558"/>
      <c r="Y196" s="1558"/>
      <c r="Z196" s="1558"/>
      <c r="AA196" s="1558"/>
      <c r="AB196" s="1558"/>
      <c r="AC196" s="1558"/>
      <c r="AD196" s="1558"/>
      <c r="AE196" s="1558"/>
      <c r="AF196" s="1558"/>
      <c r="AG196" s="1558"/>
      <c r="AH196" s="1558"/>
      <c r="AI196" s="1558"/>
      <c r="AJ196" s="1558"/>
      <c r="AK196" s="1558">
        <v>11</v>
      </c>
    </row>
    <row r="197" spans="1:37" ht="11.25" customHeight="1">
      <c r="A197" s="920"/>
      <c r="B197" s="920"/>
      <c r="C197" s="920"/>
      <c r="D197" s="920"/>
      <c r="E197" s="920"/>
      <c r="F197" s="1558"/>
      <c r="H197" s="1558"/>
      <c r="N197" s="1558"/>
      <c r="P197" s="1558"/>
      <c r="S197" s="1558"/>
      <c r="T197" s="1558"/>
      <c r="U197" s="1558"/>
      <c r="V197" s="1558"/>
      <c r="X197" s="1558"/>
      <c r="Y197" s="1558"/>
      <c r="Z197" s="1558"/>
      <c r="AA197" s="1558"/>
      <c r="AB197" s="1558"/>
      <c r="AC197" s="1558"/>
      <c r="AD197" s="1558"/>
      <c r="AE197" s="1558"/>
      <c r="AF197" s="1558"/>
      <c r="AG197" s="1558"/>
      <c r="AH197" s="1558"/>
      <c r="AI197" s="1558"/>
      <c r="AJ197" s="1558"/>
      <c r="AK197" s="1558">
        <v>11</v>
      </c>
    </row>
    <row r="198" spans="1:37" ht="11.25" customHeight="1">
      <c r="A198" s="920"/>
      <c r="B198" s="920"/>
      <c r="C198" s="920"/>
      <c r="D198" s="920"/>
      <c r="E198" s="920"/>
      <c r="F198" s="1558"/>
      <c r="H198" s="1558"/>
      <c r="N198" s="1558"/>
      <c r="P198" s="1558"/>
      <c r="S198" s="1558"/>
      <c r="T198" s="1558"/>
      <c r="U198" s="1558"/>
      <c r="V198" s="1558"/>
      <c r="X198" s="1558"/>
      <c r="Y198" s="1558"/>
      <c r="Z198" s="1558"/>
      <c r="AA198" s="1558"/>
      <c r="AB198" s="1558"/>
      <c r="AC198" s="1558"/>
      <c r="AD198" s="1558"/>
      <c r="AE198" s="1558"/>
      <c r="AF198" s="1558"/>
      <c r="AG198" s="1558"/>
      <c r="AH198" s="1558"/>
      <c r="AI198" s="1558"/>
      <c r="AJ198" s="1558"/>
      <c r="AK198" s="1558">
        <v>11</v>
      </c>
    </row>
    <row r="199" spans="1:37" ht="11.25" customHeight="1">
      <c r="A199" s="920"/>
      <c r="B199" s="920"/>
      <c r="C199" s="920"/>
      <c r="D199" s="920"/>
      <c r="E199" s="920"/>
      <c r="F199" s="1558"/>
      <c r="H199" s="1558"/>
      <c r="N199" s="1558"/>
      <c r="P199" s="1558"/>
      <c r="S199" s="1558"/>
      <c r="T199" s="1558"/>
      <c r="U199" s="1558"/>
      <c r="V199" s="1558"/>
      <c r="X199" s="1558"/>
      <c r="Y199" s="1558"/>
      <c r="Z199" s="1558"/>
      <c r="AA199" s="1558"/>
      <c r="AB199" s="1558"/>
      <c r="AC199" s="1558"/>
      <c r="AD199" s="1558"/>
      <c r="AE199" s="1558"/>
      <c r="AF199" s="1558"/>
      <c r="AG199" s="1558"/>
      <c r="AH199" s="1558"/>
      <c r="AI199" s="1558"/>
      <c r="AJ199" s="1558"/>
      <c r="AK199" s="1558">
        <v>11</v>
      </c>
    </row>
    <row r="200" spans="1:37" ht="11.25" customHeight="1">
      <c r="A200" s="920"/>
      <c r="B200" s="920"/>
      <c r="C200" s="920"/>
      <c r="D200" s="920"/>
      <c r="E200" s="920"/>
      <c r="F200" s="1558"/>
      <c r="H200" s="1558"/>
      <c r="N200" s="1558"/>
      <c r="P200" s="1558"/>
      <c r="S200" s="1558"/>
      <c r="T200" s="1558"/>
      <c r="U200" s="1558"/>
      <c r="V200" s="1558"/>
      <c r="X200" s="1558"/>
      <c r="Y200" s="1558"/>
      <c r="Z200" s="1558"/>
      <c r="AA200" s="1558"/>
      <c r="AB200" s="1558"/>
      <c r="AC200" s="1558"/>
      <c r="AD200" s="1558"/>
      <c r="AE200" s="1558"/>
      <c r="AF200" s="1558"/>
      <c r="AG200" s="1558"/>
      <c r="AH200" s="1558"/>
      <c r="AI200" s="1558"/>
      <c r="AJ200" s="1558"/>
      <c r="AK200" s="1558">
        <v>11</v>
      </c>
    </row>
    <row r="201" spans="1:37" ht="11.25" customHeight="1">
      <c r="A201" s="920"/>
      <c r="B201" s="920"/>
      <c r="C201" s="920"/>
      <c r="D201" s="920"/>
      <c r="E201" s="920"/>
      <c r="F201" s="1558"/>
      <c r="H201" s="1558"/>
      <c r="N201" s="1558"/>
      <c r="P201" s="1558"/>
      <c r="S201" s="1558"/>
      <c r="T201" s="1558"/>
      <c r="U201" s="1558"/>
      <c r="V201" s="1558"/>
      <c r="X201" s="1558"/>
      <c r="Y201" s="1558"/>
      <c r="Z201" s="1558"/>
      <c r="AA201" s="1558"/>
      <c r="AB201" s="1558"/>
      <c r="AC201" s="1558"/>
      <c r="AD201" s="1558"/>
      <c r="AE201" s="1558"/>
      <c r="AF201" s="1558"/>
      <c r="AG201" s="1558"/>
      <c r="AH201" s="1558"/>
      <c r="AI201" s="1558"/>
      <c r="AJ201" s="1558"/>
      <c r="AK201" s="1558">
        <v>11</v>
      </c>
    </row>
    <row r="202" spans="1:37" ht="11.25" customHeight="1">
      <c r="A202" s="920"/>
      <c r="B202" s="920"/>
      <c r="C202" s="920"/>
      <c r="D202" s="920"/>
      <c r="E202" s="920"/>
      <c r="F202" s="1558"/>
      <c r="H202" s="1558"/>
      <c r="N202" s="1558"/>
      <c r="P202" s="1558"/>
      <c r="S202" s="1558"/>
      <c r="T202" s="1558"/>
      <c r="U202" s="1558"/>
      <c r="V202" s="1558"/>
      <c r="X202" s="1558"/>
      <c r="Y202" s="1558"/>
      <c r="Z202" s="1558"/>
      <c r="AA202" s="1558"/>
      <c r="AB202" s="1558"/>
      <c r="AC202" s="1558"/>
      <c r="AD202" s="1558"/>
      <c r="AE202" s="1558"/>
      <c r="AF202" s="1558"/>
      <c r="AG202" s="1558"/>
      <c r="AH202" s="1558"/>
      <c r="AI202" s="1558"/>
      <c r="AJ202" s="1558"/>
      <c r="AK202" s="1558">
        <v>11</v>
      </c>
    </row>
    <row r="203" spans="1:37" ht="11.25" customHeight="1">
      <c r="A203" s="920"/>
      <c r="B203" s="920"/>
      <c r="C203" s="920"/>
      <c r="D203" s="920"/>
      <c r="E203" s="920"/>
      <c r="F203" s="1558"/>
      <c r="H203" s="1558"/>
      <c r="N203" s="1558"/>
      <c r="P203" s="1558"/>
      <c r="S203" s="1558"/>
      <c r="T203" s="1558"/>
      <c r="U203" s="1558"/>
      <c r="V203" s="1558"/>
      <c r="X203" s="1558"/>
      <c r="Y203" s="1558"/>
      <c r="Z203" s="1558"/>
      <c r="AA203" s="1558"/>
      <c r="AB203" s="1558"/>
      <c r="AC203" s="1558"/>
      <c r="AD203" s="1558"/>
      <c r="AE203" s="1558"/>
      <c r="AF203" s="1558"/>
      <c r="AG203" s="1558"/>
      <c r="AH203" s="1558"/>
      <c r="AI203" s="1558"/>
      <c r="AJ203" s="1558"/>
      <c r="AK203" s="1558">
        <v>11</v>
      </c>
    </row>
    <row r="204" spans="1:37" ht="12.75" hidden="1" customHeight="1">
      <c r="A204" s="917" t="s">
        <v>87</v>
      </c>
      <c r="B204" s="917" t="s">
        <v>154</v>
      </c>
      <c r="C204" s="917" t="s">
        <v>154</v>
      </c>
      <c r="D204" s="917" t="s">
        <v>154</v>
      </c>
      <c r="E204" s="917" t="s">
        <v>154</v>
      </c>
      <c r="F204" s="1562">
        <v>16</v>
      </c>
      <c r="G204" s="1563">
        <v>0</v>
      </c>
      <c r="H204" s="1562">
        <v>3</v>
      </c>
      <c r="I204" s="1558">
        <v>7</v>
      </c>
      <c r="J204" s="1558">
        <v>56</v>
      </c>
      <c r="K204" s="1558">
        <v>10</v>
      </c>
      <c r="L204" s="1558">
        <v>40</v>
      </c>
      <c r="M204" s="1558">
        <v>40</v>
      </c>
      <c r="N204" s="1293">
        <v>9</v>
      </c>
      <c r="O204" s="1558">
        <v>102</v>
      </c>
      <c r="P204" s="1293">
        <v>9</v>
      </c>
      <c r="Q204" s="1563">
        <v>5</v>
      </c>
      <c r="R204" s="1563">
        <v>3</v>
      </c>
      <c r="S204" s="1293">
        <v>3</v>
      </c>
      <c r="T204" s="1293">
        <v>3</v>
      </c>
      <c r="U204" s="1293">
        <v>3</v>
      </c>
      <c r="V204" s="1293">
        <v>3</v>
      </c>
      <c r="W204" s="1563">
        <v>10</v>
      </c>
      <c r="X204" s="1293">
        <v>34</v>
      </c>
      <c r="Y204" s="1293">
        <v>9</v>
      </c>
      <c r="Z204" s="481">
        <v>8</v>
      </c>
      <c r="AA204" s="1293">
        <v>8</v>
      </c>
      <c r="AB204" s="1293">
        <v>8</v>
      </c>
      <c r="AC204" s="1293">
        <v>8</v>
      </c>
      <c r="AD204" s="1293">
        <v>8</v>
      </c>
      <c r="AE204" s="1293">
        <v>8</v>
      </c>
      <c r="AF204" s="1559">
        <v>8</v>
      </c>
      <c r="AG204" s="1559">
        <v>8</v>
      </c>
      <c r="AH204" s="1559">
        <v>8</v>
      </c>
      <c r="AI204" s="1559">
        <v>8</v>
      </c>
      <c r="AJ204" s="1559">
        <v>8</v>
      </c>
      <c r="AK204" s="1558">
        <v>11</v>
      </c>
    </row>
  </sheetData>
  <sheetProtection insertRows="0" deleteColumns="0" deleteRows="0" sort="0" autoFilter="0"/>
  <mergeCells count="7">
    <mergeCell ref="I6:M6"/>
    <mergeCell ref="I7:M7"/>
    <mergeCell ref="J10:K10"/>
    <mergeCell ref="O10:O14"/>
    <mergeCell ref="J11:K11"/>
    <mergeCell ref="J12:K12"/>
    <mergeCell ref="I13:K13"/>
  </mergeCells>
  <dataValidations count="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15:M15 L34:M34">
      <formula1>900</formula1>
    </dataValidation>
    <dataValidation type="whole" allowBlank="1" showErrorMessage="1" errorTitle="Ошибка" error="Допускается ввод только неотрицательных целых чисел!" sqref="L30:M31">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L17:M17">
      <formula1>900</formula1>
    </dataValidation>
    <dataValidation type="decimal" allowBlank="1" showErrorMessage="1" errorTitle="Ошибка" error="Допускается ввод только неотрицательных чисел!" sqref="L32:M33 L19:M29 L16:M16 L2:M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16"/>
  <sheetViews>
    <sheetView showGridLines="0" zoomScale="90" workbookViewId="0">
      <pane xSplit="11" ySplit="9" topLeftCell="L10" activePane="bottomRight" state="frozen"/>
      <selection pane="topRight" activeCell="L1" sqref="L1"/>
      <selection pane="bottomLeft" activeCell="A10" sqref="A10"/>
      <selection pane="bottomRight"/>
    </sheetView>
  </sheetViews>
  <sheetFormatPr defaultColWidth="10.5703125" defaultRowHeight="14.25" customHeight="1"/>
  <cols>
    <col min="1" max="4" width="10.5703125" style="1562" hidden="1"/>
    <col min="5" max="5" width="9.140625" style="2007" hidden="1" customWidth="1"/>
    <col min="6" max="7" width="9.140625" style="1293" hidden="1" customWidth="1"/>
    <col min="8" max="8" width="3" style="282" customWidth="1"/>
    <col min="9" max="9" width="6" style="1562" customWidth="1"/>
    <col min="10" max="10" width="63" style="1562" customWidth="1"/>
    <col min="11" max="11" width="9" style="1562" customWidth="1"/>
    <col min="12" max="12" width="39" style="1562" customWidth="1"/>
    <col min="13" max="13" width="89" style="1562" customWidth="1"/>
    <col min="14" max="14" width="10" style="1562" customWidth="1"/>
    <col min="15" max="16" width="10" style="1551" customWidth="1"/>
    <col min="17" max="22" width="10" style="1562" customWidth="1"/>
    <col min="23" max="23" width="10.5703125" style="1562" hidden="1"/>
  </cols>
  <sheetData>
    <row r="1" spans="1:23" ht="22.5" hidden="1" customHeight="1">
      <c r="S1" s="193"/>
      <c r="T1" s="193"/>
      <c r="V1" s="193"/>
      <c r="W1" s="1558" t="s">
        <v>14</v>
      </c>
    </row>
    <row r="2" spans="1:23" ht="22.5" hidden="1" customHeight="1">
      <c r="B2" s="1975" t="s">
        <v>733</v>
      </c>
      <c r="C2" s="1975" t="s">
        <v>734</v>
      </c>
      <c r="D2" s="1974" t="s">
        <v>673</v>
      </c>
      <c r="E2" s="1980">
        <f>I2-3</f>
        <v>-3</v>
      </c>
      <c r="F2" s="1980">
        <f>J2</f>
        <v>0</v>
      </c>
      <c r="H2" s="1656" t="s">
        <v>179</v>
      </c>
      <c r="I2" s="1946"/>
      <c r="J2" s="1609"/>
      <c r="K2" s="1940" t="s">
        <v>351</v>
      </c>
      <c r="L2" s="1091"/>
      <c r="M2" s="235"/>
      <c r="N2" s="1551"/>
      <c r="P2" s="1558"/>
      <c r="W2" s="1558">
        <v>0</v>
      </c>
    </row>
    <row r="3" spans="1:23" ht="14.25" hidden="1" customHeight="1">
      <c r="W3" s="1558">
        <v>0</v>
      </c>
    </row>
    <row r="4" spans="1:23" ht="6" customHeight="1">
      <c r="H4" s="313"/>
      <c r="I4" s="394"/>
      <c r="J4" s="394"/>
      <c r="K4" s="394"/>
      <c r="L4" s="25"/>
      <c r="M4" s="25"/>
      <c r="W4" s="1558">
        <v>6</v>
      </c>
    </row>
    <row r="5" spans="1:23" ht="50.25" customHeight="1">
      <c r="H5" s="313"/>
      <c r="I5" s="2877" t="s">
        <v>735</v>
      </c>
      <c r="J5" s="2877"/>
      <c r="K5" s="2877"/>
      <c r="L5" s="2877"/>
      <c r="M5" s="204"/>
      <c r="W5" s="1558">
        <v>48</v>
      </c>
    </row>
    <row r="6" spans="1:23" ht="18" customHeight="1">
      <c r="H6" s="313"/>
      <c r="I6" s="2849" t="str">
        <f>IF(org=0,"Не определено",org)</f>
        <v>ТМУП "ТТС"</v>
      </c>
      <c r="J6" s="2849"/>
      <c r="K6" s="2849"/>
      <c r="L6" s="2849"/>
      <c r="M6" s="204"/>
      <c r="W6" s="1558">
        <v>17</v>
      </c>
    </row>
    <row r="7" spans="1:23" ht="15" customHeight="1">
      <c r="H7" s="313"/>
      <c r="I7" s="394"/>
      <c r="J7" s="400"/>
      <c r="K7" s="400"/>
      <c r="L7" s="689"/>
      <c r="M7" s="131"/>
      <c r="W7" s="1558">
        <v>14</v>
      </c>
    </row>
    <row r="8" spans="1:23" ht="15" customHeight="1">
      <c r="H8" s="313"/>
      <c r="I8" s="2998" t="s">
        <v>345</v>
      </c>
      <c r="J8" s="2999"/>
      <c r="K8" s="2999"/>
      <c r="L8" s="3000"/>
      <c r="M8" s="3001" t="s">
        <v>346</v>
      </c>
      <c r="W8" s="1558">
        <v>14</v>
      </c>
    </row>
    <row r="9" spans="1:23" ht="36" customHeight="1">
      <c r="E9" s="1973" t="s">
        <v>664</v>
      </c>
      <c r="F9" s="1973" t="s">
        <v>670</v>
      </c>
      <c r="H9" s="313"/>
      <c r="I9" s="1947" t="s">
        <v>93</v>
      </c>
      <c r="J9" s="1948" t="s">
        <v>347</v>
      </c>
      <c r="K9" s="1986" t="s">
        <v>612</v>
      </c>
      <c r="L9" s="1987" t="s">
        <v>348</v>
      </c>
      <c r="M9" s="3001"/>
      <c r="W9" s="1558">
        <v>34</v>
      </c>
    </row>
    <row r="10" spans="1:23" ht="36" customHeight="1">
      <c r="B10" s="1975" t="s">
        <v>736</v>
      </c>
      <c r="C10" s="1975" t="s">
        <v>737</v>
      </c>
      <c r="D10" s="1974" t="s">
        <v>673</v>
      </c>
      <c r="E10" s="1978" t="s">
        <v>674</v>
      </c>
      <c r="F10" s="1978" t="s">
        <v>674</v>
      </c>
      <c r="H10" s="313"/>
      <c r="I10" s="1946" t="s">
        <v>114</v>
      </c>
      <c r="J10" s="1811" t="s">
        <v>738</v>
      </c>
      <c r="K10" s="1940" t="s">
        <v>351</v>
      </c>
      <c r="L10" s="749"/>
      <c r="M10" s="235" t="s">
        <v>739</v>
      </c>
      <c r="W10" s="1558">
        <v>34</v>
      </c>
    </row>
    <row r="11" spans="1:23" ht="50.25" customHeight="1">
      <c r="B11" s="1975" t="s">
        <v>740</v>
      </c>
      <c r="C11" s="1975" t="s">
        <v>741</v>
      </c>
      <c r="D11" s="1974" t="s">
        <v>673</v>
      </c>
      <c r="E11" s="1978" t="s">
        <v>674</v>
      </c>
      <c r="F11" s="1978" t="s">
        <v>674</v>
      </c>
      <c r="H11" s="313"/>
      <c r="I11" s="1946" t="s">
        <v>115</v>
      </c>
      <c r="J11" s="1811" t="s">
        <v>742</v>
      </c>
      <c r="K11" s="1940" t="s">
        <v>351</v>
      </c>
      <c r="L11" s="749"/>
      <c r="M11" s="235" t="s">
        <v>739</v>
      </c>
      <c r="W11" s="1558">
        <v>48</v>
      </c>
    </row>
    <row r="12" spans="1:23" ht="48" customHeight="1">
      <c r="B12" s="1975" t="s">
        <v>743</v>
      </c>
      <c r="C12" s="1975" t="s">
        <v>744</v>
      </c>
      <c r="D12" s="1974" t="s">
        <v>673</v>
      </c>
      <c r="E12" s="1978" t="s">
        <v>674</v>
      </c>
      <c r="F12" s="1978" t="s">
        <v>674</v>
      </c>
      <c r="H12" s="1615"/>
      <c r="I12" s="1946" t="s">
        <v>95</v>
      </c>
      <c r="J12" s="1953" t="s">
        <v>745</v>
      </c>
      <c r="K12" s="1940" t="s">
        <v>351</v>
      </c>
      <c r="L12" s="749"/>
      <c r="M12" s="235" t="s">
        <v>746</v>
      </c>
      <c r="N12" s="1551"/>
      <c r="P12" s="1558"/>
      <c r="W12" s="1558">
        <v>46</v>
      </c>
    </row>
    <row r="13" spans="1:23" ht="15" customHeight="1">
      <c r="E13" s="281"/>
      <c r="H13" s="313"/>
      <c r="I13" s="285"/>
      <c r="J13" s="588" t="s">
        <v>747</v>
      </c>
      <c r="K13" s="508"/>
      <c r="L13" s="152"/>
      <c r="M13" s="235"/>
      <c r="W13" s="1558">
        <v>14</v>
      </c>
    </row>
    <row r="14" spans="1:23" ht="15" customHeight="1">
      <c r="E14" s="281"/>
      <c r="H14" s="313"/>
      <c r="I14" s="987"/>
      <c r="J14" s="1604"/>
      <c r="K14" s="1605"/>
      <c r="L14" s="1606"/>
      <c r="M14" s="1950"/>
      <c r="W14" s="1558">
        <v>14</v>
      </c>
    </row>
    <row r="15" spans="1:23" ht="15" customHeight="1">
      <c r="I15" s="1608"/>
      <c r="J15" s="2895"/>
      <c r="K15" s="2895"/>
      <c r="L15" s="2895"/>
      <c r="M15" s="2895"/>
      <c r="W15" s="1558">
        <v>14</v>
      </c>
    </row>
    <row r="16" spans="1:23" ht="21" hidden="1" customHeight="1">
      <c r="A16" s="1952" t="s">
        <v>87</v>
      </c>
      <c r="B16" s="1558">
        <v>9</v>
      </c>
      <c r="C16" s="1558">
        <v>9</v>
      </c>
      <c r="D16" s="1558">
        <v>9</v>
      </c>
      <c r="E16" s="1952" t="s">
        <v>153</v>
      </c>
      <c r="F16" s="1977" t="s">
        <v>153</v>
      </c>
      <c r="G16" s="1979"/>
      <c r="H16" s="282">
        <v>3</v>
      </c>
      <c r="I16" s="1558">
        <v>6</v>
      </c>
      <c r="J16" s="1558">
        <v>63</v>
      </c>
      <c r="K16" s="1558">
        <v>9</v>
      </c>
      <c r="L16" s="1558">
        <v>39</v>
      </c>
      <c r="M16" s="1558">
        <v>89</v>
      </c>
      <c r="N16" s="1558">
        <v>10</v>
      </c>
      <c r="O16" s="1551">
        <v>10</v>
      </c>
      <c r="P16" s="1551">
        <v>10</v>
      </c>
      <c r="Q16" s="1558">
        <v>10</v>
      </c>
      <c r="R16" s="1558">
        <v>10</v>
      </c>
      <c r="S16" s="1558">
        <v>10</v>
      </c>
      <c r="T16" s="1558">
        <v>10</v>
      </c>
      <c r="U16" s="1558">
        <v>10</v>
      </c>
      <c r="V16" s="1558">
        <v>10</v>
      </c>
      <c r="W16" s="1558">
        <v>23</v>
      </c>
    </row>
  </sheetData>
  <sheetProtection formatColumns="0" formatRows="0" insertRows="0" deleteColumns="0" deleteRows="0" sort="0" autoFilter="0"/>
  <mergeCells count="5">
    <mergeCell ref="J15:M15"/>
    <mergeCell ref="I5:L5"/>
    <mergeCell ref="I6:L6"/>
    <mergeCell ref="I8:L8"/>
    <mergeCell ref="M8:M9"/>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L2 L10:L12">
      <formula1>900</formula1>
    </dataValidation>
    <dataValidation type="textLength" operator="lessThanOrEqual" allowBlank="1" showInputMessage="1" showErrorMessage="1" errorTitle="Ошибка" error="Допускается ввод не более 900 символов!" sqref="M10 J2">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7"/>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6"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10.42578125" style="1562" hidden="1" customWidth="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64"/>
      <c r="F2" s="477"/>
      <c r="G2" s="1566" t="s">
        <v>598</v>
      </c>
      <c r="H2" s="478"/>
      <c r="I2" s="478"/>
      <c r="J2" s="479" t="s">
        <v>748</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25" customHeight="1">
      <c r="AF5" s="1558">
        <v>11</v>
      </c>
    </row>
    <row r="6" spans="1:32" ht="31.5" customHeight="1">
      <c r="E6" s="2828" t="s">
        <v>749</v>
      </c>
      <c r="F6" s="2828"/>
      <c r="G6" s="2828"/>
      <c r="H6" s="2828"/>
      <c r="I6" s="2828"/>
      <c r="J6" s="493"/>
      <c r="AF6" s="1558">
        <v>30</v>
      </c>
    </row>
    <row r="7" spans="1:32" ht="11.25" customHeight="1">
      <c r="E7" s="2849" t="str">
        <f>IF(org=0,"Не определено",org)</f>
        <v>ТМУП "ТТС"</v>
      </c>
      <c r="F7" s="2849"/>
      <c r="G7" s="2849"/>
      <c r="H7" s="2849"/>
      <c r="I7" s="2849"/>
      <c r="AF7" s="1558">
        <v>11</v>
      </c>
    </row>
    <row r="8" spans="1:32" ht="11.25" customHeight="1">
      <c r="E8" s="1062"/>
      <c r="F8" s="1062"/>
      <c r="G8" s="1062"/>
      <c r="H8" s="1062"/>
      <c r="I8" s="1062"/>
      <c r="AF8" s="1558">
        <v>11</v>
      </c>
    </row>
    <row r="9" spans="1:32" s="1569" customFormat="1" ht="4.5" customHeight="1">
      <c r="A9" s="1094"/>
      <c r="H9" s="819"/>
      <c r="I9" s="819" t="s">
        <v>122</v>
      </c>
      <c r="AF9" s="1563">
        <v>4</v>
      </c>
    </row>
    <row r="10" spans="1:32" ht="11.25" customHeight="1">
      <c r="E10" s="648"/>
      <c r="F10" s="2984" t="s">
        <v>110</v>
      </c>
      <c r="G10" s="2985"/>
      <c r="H10" s="1479" t="str">
        <f>IF(H9="","",INDEX(DIFFERENTIATION_UNMERGE_VD,MATCH(H9,DIFFERENTIATION_ID_DIFF,0)))</f>
        <v/>
      </c>
      <c r="I10" s="1479">
        <f>IF(I9="","",INDEX(DIFFERENTIATION_UNMERGE_VD,MATCH(I9,DIFFERENTIATION_ID_DIFF,0)))</f>
        <v>0</v>
      </c>
      <c r="J10" s="2758"/>
      <c r="AF10" s="1558">
        <v>11</v>
      </c>
    </row>
    <row r="11" spans="1:32" ht="11.25" customHeight="1">
      <c r="E11" s="648"/>
      <c r="F11" s="2984" t="s">
        <v>610</v>
      </c>
      <c r="G11" s="2985"/>
      <c r="H11" s="1479" t="str">
        <f>IF(H9="","",INDEX(DIFFERENTIATION_UNMERGE_AREA,MATCH(H9,DIFFERENTIATION_ID_DIFF,0)))</f>
        <v/>
      </c>
      <c r="I11" s="1479" t="str">
        <f>IF(I9="","",INDEX(DIFFERENTIATION_UNMERGE_AREA,MATCH(I9,DIFFERENTIATION_ID_DIFF,0)))</f>
        <v/>
      </c>
      <c r="J11" s="2758"/>
      <c r="AF11" s="1558">
        <v>11</v>
      </c>
    </row>
    <row r="12" spans="1:32" ht="0.75" customHeight="1">
      <c r="E12" s="1589"/>
      <c r="F12" s="3002" t="s">
        <v>611</v>
      </c>
      <c r="G12" s="3003"/>
      <c r="H12" s="1590" t="str">
        <f>IF(H9="","",INDEX(DIFFERENTIATION_UNMERGE_SYSTEM,MATCH(H9,DIFFERENTIATION_ID_DIFF,0)))</f>
        <v/>
      </c>
      <c r="I12" s="1590" t="str">
        <f>IF(I9="","",INDEX(DIFFERENTIATION_UNMERGE_SYSTEM,MATCH(I9,DIFFERENTIATION_ID_DIFF,0)))</f>
        <v>без дифференциации</v>
      </c>
      <c r="J12" s="2758"/>
      <c r="AF12" s="1558">
        <v>1</v>
      </c>
    </row>
    <row r="13" spans="1:32" ht="11.25" customHeight="1">
      <c r="E13" s="2986" t="s">
        <v>345</v>
      </c>
      <c r="F13" s="2987"/>
      <c r="G13" s="2987"/>
      <c r="H13" s="1478"/>
      <c r="I13" s="1478"/>
      <c r="J13" s="2758"/>
      <c r="AF13" s="1558">
        <v>11</v>
      </c>
    </row>
    <row r="14" spans="1:32" ht="24" customHeight="1">
      <c r="E14" s="1566" t="s">
        <v>93</v>
      </c>
      <c r="F14" s="1561" t="s">
        <v>347</v>
      </c>
      <c r="G14" s="1561" t="s">
        <v>612</v>
      </c>
      <c r="H14" s="1561" t="s">
        <v>348</v>
      </c>
      <c r="I14" s="1561" t="s">
        <v>348</v>
      </c>
      <c r="J14" s="2758"/>
      <c r="AF14" s="1558">
        <v>23</v>
      </c>
    </row>
    <row r="15" spans="1:32" ht="20.25" customHeight="1">
      <c r="D15" s="1565"/>
      <c r="E15" s="1557" t="s">
        <v>114</v>
      </c>
      <c r="F15" s="644" t="s">
        <v>750</v>
      </c>
      <c r="G15" s="1573" t="s">
        <v>598</v>
      </c>
      <c r="H15" s="494"/>
      <c r="I15" s="494"/>
      <c r="J15" s="227" t="s">
        <v>751</v>
      </c>
      <c r="K15" s="480" t="s">
        <v>676</v>
      </c>
      <c r="AF15" s="1558">
        <v>19</v>
      </c>
    </row>
    <row r="16" spans="1:32" ht="36" customHeight="1">
      <c r="D16" s="1565"/>
      <c r="E16" s="1557" t="s">
        <v>115</v>
      </c>
      <c r="F16" s="644" t="s">
        <v>752</v>
      </c>
      <c r="G16" s="1573" t="s">
        <v>598</v>
      </c>
      <c r="H16" s="495">
        <f>SUM(H17,H20:H32)</f>
        <v>0</v>
      </c>
      <c r="I16" s="495">
        <f>SUM(I17,I20,I23,I26,I29:I32)</f>
        <v>0</v>
      </c>
      <c r="J16" s="227" t="s">
        <v>753</v>
      </c>
      <c r="K16" s="480" t="s">
        <v>676</v>
      </c>
      <c r="AF16" s="1558">
        <v>34</v>
      </c>
    </row>
    <row r="17" spans="1:32" ht="20.25" customHeight="1">
      <c r="D17" s="1565"/>
      <c r="E17" s="1591" t="s">
        <v>754</v>
      </c>
      <c r="F17" s="884" t="s">
        <v>755</v>
      </c>
      <c r="G17" s="1570" t="s">
        <v>598</v>
      </c>
      <c r="H17" s="494"/>
      <c r="I17" s="494"/>
      <c r="J17" s="227" t="s">
        <v>756</v>
      </c>
      <c r="K17" s="480"/>
      <c r="AF17" s="1558">
        <v>19</v>
      </c>
    </row>
    <row r="18" spans="1:32" ht="24" customHeight="1">
      <c r="D18" s="1565"/>
      <c r="E18" s="1591" t="s">
        <v>757</v>
      </c>
      <c r="F18" s="1577" t="s">
        <v>758</v>
      </c>
      <c r="G18" s="1570" t="s">
        <v>598</v>
      </c>
      <c r="H18" s="494"/>
      <c r="I18" s="494"/>
      <c r="J18" s="227" t="s">
        <v>759</v>
      </c>
      <c r="K18" s="480"/>
      <c r="AF18" s="1558">
        <v>23</v>
      </c>
    </row>
    <row r="19" spans="1:32" ht="36" customHeight="1">
      <c r="D19" s="1565"/>
      <c r="E19" s="1591" t="s">
        <v>760</v>
      </c>
      <c r="F19" s="1577" t="s">
        <v>761</v>
      </c>
      <c r="G19" s="1570" t="s">
        <v>598</v>
      </c>
      <c r="H19" s="494"/>
      <c r="I19" s="494"/>
      <c r="J19" s="227"/>
      <c r="K19" s="480"/>
      <c r="AF19" s="1558">
        <v>34</v>
      </c>
    </row>
    <row r="20" spans="1:32" ht="20.25" customHeight="1">
      <c r="D20" s="1565"/>
      <c r="E20" s="1591" t="s">
        <v>352</v>
      </c>
      <c r="F20" s="884" t="s">
        <v>762</v>
      </c>
      <c r="G20" s="1570" t="s">
        <v>598</v>
      </c>
      <c r="H20" s="494"/>
      <c r="I20" s="494"/>
      <c r="J20" s="227" t="s">
        <v>763</v>
      </c>
      <c r="K20" s="480"/>
      <c r="AF20" s="1558">
        <v>19</v>
      </c>
    </row>
    <row r="21" spans="1:32" ht="20.25" customHeight="1">
      <c r="D21" s="1565"/>
      <c r="E21" s="1591" t="s">
        <v>764</v>
      </c>
      <c r="F21" s="1577" t="s">
        <v>765</v>
      </c>
      <c r="G21" s="1570" t="s">
        <v>598</v>
      </c>
      <c r="H21" s="494"/>
      <c r="I21" s="494"/>
      <c r="J21" s="227"/>
      <c r="K21" s="480"/>
      <c r="AF21" s="1558">
        <v>19</v>
      </c>
    </row>
    <row r="22" spans="1:32" ht="20.25" customHeight="1">
      <c r="D22" s="1565"/>
      <c r="E22" s="1591" t="s">
        <v>766</v>
      </c>
      <c r="F22" s="1577" t="s">
        <v>767</v>
      </c>
      <c r="G22" s="1570" t="s">
        <v>598</v>
      </c>
      <c r="H22" s="494"/>
      <c r="I22" s="494"/>
      <c r="J22" s="227"/>
      <c r="K22" s="480"/>
      <c r="AF22" s="1558">
        <v>19</v>
      </c>
    </row>
    <row r="23" spans="1:32" ht="24" customHeight="1">
      <c r="D23" s="1565"/>
      <c r="E23" s="1591" t="s">
        <v>355</v>
      </c>
      <c r="F23" s="884" t="s">
        <v>768</v>
      </c>
      <c r="G23" s="1570" t="s">
        <v>598</v>
      </c>
      <c r="H23" s="494"/>
      <c r="I23" s="494"/>
      <c r="J23" s="227" t="s">
        <v>769</v>
      </c>
      <c r="K23" s="480"/>
      <c r="AF23" s="1558">
        <v>23</v>
      </c>
    </row>
    <row r="24" spans="1:32" ht="20.25" customHeight="1">
      <c r="D24" s="1565"/>
      <c r="E24" s="1591" t="s">
        <v>770</v>
      </c>
      <c r="F24" s="1577" t="s">
        <v>771</v>
      </c>
      <c r="G24" s="1570" t="s">
        <v>598</v>
      </c>
      <c r="H24" s="494"/>
      <c r="I24" s="494"/>
      <c r="J24" s="227"/>
      <c r="K24" s="480"/>
      <c r="AF24" s="1558">
        <v>19</v>
      </c>
    </row>
    <row r="25" spans="1:32" ht="36" customHeight="1">
      <c r="D25" s="1565"/>
      <c r="E25" s="1591" t="s">
        <v>772</v>
      </c>
      <c r="F25" s="1577" t="s">
        <v>773</v>
      </c>
      <c r="G25" s="1570" t="s">
        <v>598</v>
      </c>
      <c r="H25" s="494"/>
      <c r="I25" s="494"/>
      <c r="J25" s="227"/>
      <c r="K25" s="480"/>
      <c r="AF25" s="1558">
        <v>34</v>
      </c>
    </row>
    <row r="26" spans="1:32" ht="24" customHeight="1">
      <c r="D26" s="1565"/>
      <c r="E26" s="1591" t="s">
        <v>774</v>
      </c>
      <c r="F26" s="884" t="s">
        <v>775</v>
      </c>
      <c r="G26" s="1570" t="s">
        <v>598</v>
      </c>
      <c r="H26" s="494"/>
      <c r="I26" s="494"/>
      <c r="J26" s="227" t="s">
        <v>776</v>
      </c>
      <c r="K26" s="480"/>
      <c r="AF26" s="1558">
        <v>23</v>
      </c>
    </row>
    <row r="27" spans="1:32" ht="20.25" customHeight="1">
      <c r="D27" s="1565"/>
      <c r="E27" s="1602" t="s">
        <v>777</v>
      </c>
      <c r="F27" s="1577" t="s">
        <v>778</v>
      </c>
      <c r="G27" s="1581" t="s">
        <v>598</v>
      </c>
      <c r="H27" s="1603"/>
      <c r="I27" s="1603"/>
      <c r="J27" s="227"/>
      <c r="K27" s="480"/>
      <c r="AF27" s="1558">
        <v>19</v>
      </c>
    </row>
    <row r="28" spans="1:32" ht="20.25" customHeight="1">
      <c r="D28" s="1565"/>
      <c r="E28" s="1602" t="s">
        <v>779</v>
      </c>
      <c r="F28" s="1577" t="s">
        <v>780</v>
      </c>
      <c r="G28" s="1581" t="s">
        <v>598</v>
      </c>
      <c r="H28" s="1603"/>
      <c r="I28" s="1603"/>
      <c r="J28" s="227"/>
      <c r="K28" s="480"/>
      <c r="AF28" s="1558">
        <v>19</v>
      </c>
    </row>
    <row r="29" spans="1:32" ht="20.25" customHeight="1">
      <c r="D29" s="1565"/>
      <c r="E29" s="1602" t="s">
        <v>781</v>
      </c>
      <c r="F29" s="884" t="s">
        <v>782</v>
      </c>
      <c r="G29" s="1581" t="s">
        <v>598</v>
      </c>
      <c r="H29" s="1603"/>
      <c r="I29" s="1603"/>
      <c r="J29" s="227"/>
      <c r="K29" s="480"/>
      <c r="AF29" s="1558">
        <v>19</v>
      </c>
    </row>
    <row r="30" spans="1:32" ht="20.25" customHeight="1">
      <c r="D30" s="1565"/>
      <c r="E30" s="1602" t="s">
        <v>783</v>
      </c>
      <c r="F30" s="884" t="s">
        <v>784</v>
      </c>
      <c r="G30" s="1581" t="s">
        <v>598</v>
      </c>
      <c r="H30" s="1603"/>
      <c r="I30" s="1603"/>
      <c r="J30" s="227"/>
      <c r="K30" s="480"/>
      <c r="AF30" s="1558">
        <v>19</v>
      </c>
    </row>
    <row r="31" spans="1:32" ht="20.25" customHeight="1">
      <c r="D31" s="1565"/>
      <c r="E31" s="1602" t="s">
        <v>785</v>
      </c>
      <c r="F31" s="884" t="s">
        <v>786</v>
      </c>
      <c r="G31" s="1581" t="s">
        <v>598</v>
      </c>
      <c r="H31" s="1603"/>
      <c r="I31" s="1603"/>
      <c r="J31" s="227"/>
      <c r="K31" s="480"/>
      <c r="AF31" s="1558">
        <v>19</v>
      </c>
    </row>
    <row r="32" spans="1:32" s="1293" customFormat="1" ht="36" customHeight="1">
      <c r="A32" s="917"/>
      <c r="C32" s="1563"/>
      <c r="D32" s="1565"/>
      <c r="E32" s="1602" t="s">
        <v>787</v>
      </c>
      <c r="F32" s="884" t="s">
        <v>788</v>
      </c>
      <c r="G32" s="1571" t="s">
        <v>598</v>
      </c>
      <c r="H32" s="516">
        <f>SUM(H33:H34)</f>
        <v>0</v>
      </c>
      <c r="I32" s="516">
        <f>SUM(I33:I34)</f>
        <v>0</v>
      </c>
      <c r="J32" s="227" t="s">
        <v>789</v>
      </c>
      <c r="K32" s="480"/>
      <c r="L32" s="1563"/>
      <c r="M32" s="1563"/>
      <c r="R32" s="1563"/>
      <c r="U32" s="481"/>
      <c r="AA32" s="1559"/>
      <c r="AB32" s="1559"/>
      <c r="AC32" s="1559"/>
      <c r="AD32" s="1559"/>
      <c r="AE32" s="1559"/>
      <c r="AF32" s="1087">
        <v>34</v>
      </c>
    </row>
    <row r="33" spans="1:32" s="1569" customFormat="1" ht="0.75" customHeight="1">
      <c r="A33" s="1094"/>
      <c r="D33" s="485"/>
      <c r="E33" s="733" t="str">
        <f>E32&amp;".0"</f>
        <v>2.8.0</v>
      </c>
      <c r="F33" s="921"/>
      <c r="G33" s="488"/>
      <c r="H33" s="922"/>
      <c r="I33" s="922"/>
      <c r="J33" s="923"/>
      <c r="AF33" s="1563">
        <v>1</v>
      </c>
    </row>
    <row r="34" spans="1:32" s="1293" customFormat="1" ht="20.25" customHeight="1">
      <c r="A34" s="917"/>
      <c r="C34" s="1563"/>
      <c r="D34" s="1560"/>
      <c r="E34" s="507"/>
      <c r="F34" s="1593" t="s">
        <v>623</v>
      </c>
      <c r="G34" s="509"/>
      <c r="H34" s="510"/>
      <c r="I34" s="510"/>
      <c r="J34" s="239" t="s">
        <v>790</v>
      </c>
      <c r="K34" s="480"/>
      <c r="L34" s="1563"/>
      <c r="M34" s="1563"/>
      <c r="R34" s="1563"/>
      <c r="U34" s="481"/>
      <c r="AA34" s="1559"/>
      <c r="AB34" s="1559"/>
      <c r="AC34" s="1559"/>
      <c r="AD34" s="1559"/>
      <c r="AE34" s="1559"/>
      <c r="AF34" s="1087">
        <v>19</v>
      </c>
    </row>
    <row r="35" spans="1:32" ht="60" customHeight="1">
      <c r="D35" s="1565"/>
      <c r="E35" s="1602" t="s">
        <v>791</v>
      </c>
      <c r="F35" s="884" t="s">
        <v>792</v>
      </c>
      <c r="G35" s="1581" t="s">
        <v>598</v>
      </c>
      <c r="H35" s="1603"/>
      <c r="I35" s="1603"/>
      <c r="J35" s="227" t="s">
        <v>793</v>
      </c>
      <c r="K35" s="480"/>
      <c r="AF35" s="1558">
        <v>57</v>
      </c>
    </row>
    <row r="36" spans="1:32" s="1293" customFormat="1" ht="24" customHeight="1">
      <c r="A36" s="919" t="s">
        <v>624</v>
      </c>
      <c r="C36" s="1563"/>
      <c r="D36" s="1565"/>
      <c r="E36" s="1591" t="s">
        <v>95</v>
      </c>
      <c r="F36" s="644" t="s">
        <v>794</v>
      </c>
      <c r="G36" s="1570" t="s">
        <v>598</v>
      </c>
      <c r="H36" s="494"/>
      <c r="I36" s="494"/>
      <c r="J36" s="227" t="s">
        <v>795</v>
      </c>
      <c r="K36" s="480"/>
      <c r="L36" s="1563"/>
      <c r="M36" s="1563"/>
      <c r="R36" s="1563"/>
      <c r="U36" s="481"/>
      <c r="AA36" s="1559"/>
      <c r="AB36" s="1559"/>
      <c r="AC36" s="1559"/>
      <c r="AD36" s="1559"/>
      <c r="AE36" s="1559"/>
      <c r="AF36" s="1087">
        <v>23</v>
      </c>
    </row>
    <row r="37" spans="1:32" s="1293" customFormat="1" ht="36" customHeight="1">
      <c r="A37" s="919"/>
      <c r="C37" s="1563"/>
      <c r="D37" s="1565"/>
      <c r="E37" s="1591" t="s">
        <v>369</v>
      </c>
      <c r="F37" s="884" t="s">
        <v>796</v>
      </c>
      <c r="G37" s="1581"/>
      <c r="H37" s="494"/>
      <c r="I37" s="494"/>
      <c r="J37" s="227"/>
      <c r="K37" s="480"/>
      <c r="L37" s="1563"/>
      <c r="M37" s="1563"/>
      <c r="R37" s="1563"/>
      <c r="U37" s="481"/>
      <c r="AA37" s="1559"/>
      <c r="AB37" s="1559"/>
      <c r="AC37" s="1559"/>
      <c r="AD37" s="1559"/>
      <c r="AE37" s="1559"/>
      <c r="AF37" s="1087">
        <v>34</v>
      </c>
    </row>
    <row r="38" spans="1:32" s="1293" customFormat="1" ht="20.25" customHeight="1">
      <c r="A38" s="917"/>
      <c r="C38" s="1563"/>
      <c r="D38" s="512"/>
      <c r="E38" s="1591" t="s">
        <v>96</v>
      </c>
      <c r="F38" s="644" t="s">
        <v>797</v>
      </c>
      <c r="G38" s="1570" t="s">
        <v>598</v>
      </c>
      <c r="H38" s="494"/>
      <c r="I38" s="494"/>
      <c r="J38" s="227" t="s">
        <v>798</v>
      </c>
      <c r="K38" s="480"/>
      <c r="L38" s="1563"/>
      <c r="M38" s="1563"/>
      <c r="R38" s="1563"/>
      <c r="U38" s="481"/>
      <c r="AA38" s="1559"/>
      <c r="AB38" s="1559"/>
      <c r="AC38" s="1559"/>
      <c r="AD38" s="1559"/>
      <c r="AE38" s="1559"/>
      <c r="AF38" s="1087">
        <v>19</v>
      </c>
    </row>
    <row r="39" spans="1:32" s="1293" customFormat="1" ht="24" customHeight="1">
      <c r="A39" s="917"/>
      <c r="C39" s="1563"/>
      <c r="D39" s="512"/>
      <c r="E39" s="1591" t="s">
        <v>799</v>
      </c>
      <c r="F39" s="884" t="s">
        <v>800</v>
      </c>
      <c r="G39" s="1581" t="s">
        <v>598</v>
      </c>
      <c r="H39" s="494"/>
      <c r="I39" s="494"/>
      <c r="J39" s="227" t="s">
        <v>801</v>
      </c>
      <c r="K39" s="480"/>
      <c r="L39" s="1563"/>
      <c r="M39" s="1563"/>
      <c r="R39" s="1563"/>
      <c r="U39" s="481"/>
      <c r="AA39" s="1559"/>
      <c r="AB39" s="1559"/>
      <c r="AC39" s="1559"/>
      <c r="AD39" s="1559"/>
      <c r="AE39" s="1559"/>
      <c r="AF39" s="1087">
        <v>23</v>
      </c>
    </row>
    <row r="40" spans="1:32" s="1293" customFormat="1" ht="24" customHeight="1">
      <c r="A40" s="917"/>
      <c r="C40" s="1563"/>
      <c r="D40" s="1565"/>
      <c r="E40" s="1591" t="s">
        <v>802</v>
      </c>
      <c r="F40" s="1577" t="s">
        <v>803</v>
      </c>
      <c r="G40" s="1570" t="s">
        <v>598</v>
      </c>
      <c r="H40" s="494"/>
      <c r="I40" s="494"/>
      <c r="J40" s="227" t="s">
        <v>804</v>
      </c>
      <c r="K40" s="480"/>
      <c r="L40" s="1563"/>
      <c r="M40" s="1563"/>
      <c r="R40" s="1563"/>
      <c r="U40" s="481"/>
      <c r="AA40" s="1559"/>
      <c r="AB40" s="1559"/>
      <c r="AC40" s="1559"/>
      <c r="AD40" s="1559"/>
      <c r="AE40" s="1559"/>
      <c r="AF40" s="1087">
        <v>23</v>
      </c>
    </row>
    <row r="41" spans="1:32" s="1293" customFormat="1" ht="24" customHeight="1">
      <c r="A41" s="917"/>
      <c r="C41" s="1563"/>
      <c r="D41" s="1565"/>
      <c r="E41" s="1591" t="s">
        <v>805</v>
      </c>
      <c r="F41" s="1577" t="s">
        <v>806</v>
      </c>
      <c r="G41" s="1570" t="s">
        <v>598</v>
      </c>
      <c r="H41" s="494"/>
      <c r="I41" s="494"/>
      <c r="J41" s="227" t="s">
        <v>807</v>
      </c>
      <c r="K41" s="480"/>
      <c r="L41" s="1563"/>
      <c r="M41" s="1563"/>
      <c r="R41" s="1563"/>
      <c r="U41" s="481"/>
      <c r="AA41" s="1559"/>
      <c r="AB41" s="1559"/>
      <c r="AC41" s="1559"/>
      <c r="AD41" s="1559"/>
      <c r="AE41" s="1559"/>
      <c r="AF41" s="1087">
        <v>23</v>
      </c>
    </row>
    <row r="42" spans="1:32" s="1293" customFormat="1" ht="24" customHeight="1">
      <c r="A42" s="917"/>
      <c r="C42" s="1563"/>
      <c r="D42" s="1565"/>
      <c r="E42" s="1591" t="s">
        <v>808</v>
      </c>
      <c r="F42" s="1577" t="s">
        <v>809</v>
      </c>
      <c r="G42" s="1570" t="s">
        <v>598</v>
      </c>
      <c r="H42" s="494"/>
      <c r="I42" s="494"/>
      <c r="J42" s="227" t="s">
        <v>810</v>
      </c>
      <c r="K42" s="480"/>
      <c r="L42" s="1563"/>
      <c r="M42" s="1563"/>
      <c r="R42" s="1563"/>
      <c r="U42" s="481"/>
      <c r="AA42" s="1559"/>
      <c r="AB42" s="1559"/>
      <c r="AC42" s="1559"/>
      <c r="AD42" s="1559"/>
      <c r="AE42" s="1559"/>
      <c r="AF42" s="1087">
        <v>23</v>
      </c>
    </row>
    <row r="43" spans="1:32" s="1293" customFormat="1" ht="36" customHeight="1">
      <c r="A43" s="917"/>
      <c r="C43" s="1563" t="s">
        <v>634</v>
      </c>
      <c r="D43" s="1565"/>
      <c r="E43" s="1591" t="s">
        <v>116</v>
      </c>
      <c r="F43" s="644" t="s">
        <v>675</v>
      </c>
      <c r="G43" s="1573" t="s">
        <v>811</v>
      </c>
      <c r="H43" s="338"/>
      <c r="I43" s="338"/>
      <c r="J43" s="227" t="s">
        <v>812</v>
      </c>
      <c r="K43" s="480"/>
      <c r="L43" s="1563"/>
      <c r="M43" s="1563"/>
      <c r="R43" s="1563"/>
      <c r="U43" s="481"/>
      <c r="AA43" s="1559"/>
      <c r="AB43" s="1559"/>
      <c r="AC43" s="1559"/>
      <c r="AD43" s="1559"/>
      <c r="AE43" s="1559"/>
      <c r="AF43" s="1087">
        <v>34</v>
      </c>
    </row>
    <row r="44" spans="1:32" s="1293" customFormat="1" ht="36" customHeight="1">
      <c r="A44" s="917"/>
      <c r="C44" s="1563"/>
      <c r="D44" s="1565"/>
      <c r="E44" s="1591" t="s">
        <v>97</v>
      </c>
      <c r="F44" s="644" t="s">
        <v>813</v>
      </c>
      <c r="G44" s="1570" t="s">
        <v>814</v>
      </c>
      <c r="H44" s="482"/>
      <c r="I44" s="482"/>
      <c r="J44" s="227" t="s">
        <v>815</v>
      </c>
      <c r="K44" s="480"/>
      <c r="L44" s="1563"/>
      <c r="M44" s="1563"/>
      <c r="R44" s="1563"/>
      <c r="U44" s="481"/>
      <c r="AA44" s="1559"/>
      <c r="AB44" s="1559"/>
      <c r="AC44" s="1559"/>
      <c r="AD44" s="1559"/>
      <c r="AE44" s="1559"/>
      <c r="AF44" s="1087">
        <v>34</v>
      </c>
    </row>
    <row r="45" spans="1:32" s="1293" customFormat="1" ht="24" customHeight="1">
      <c r="A45" s="917"/>
      <c r="C45" s="1563"/>
      <c r="D45" s="1565"/>
      <c r="E45" s="1591" t="s">
        <v>98</v>
      </c>
      <c r="F45" s="644" t="s">
        <v>816</v>
      </c>
      <c r="G45" s="1581" t="s">
        <v>817</v>
      </c>
      <c r="H45" s="482"/>
      <c r="I45" s="482"/>
      <c r="J45" s="227" t="s">
        <v>818</v>
      </c>
      <c r="K45" s="480"/>
      <c r="L45" s="1563"/>
      <c r="M45" s="1563"/>
      <c r="R45" s="1563"/>
      <c r="U45" s="481"/>
      <c r="AA45" s="1559"/>
      <c r="AB45" s="1559"/>
      <c r="AC45" s="1559"/>
      <c r="AD45" s="1559"/>
      <c r="AE45" s="1559"/>
      <c r="AF45" s="1087">
        <v>23</v>
      </c>
    </row>
    <row r="46" spans="1:32" s="1293" customFormat="1" ht="20.25" customHeight="1">
      <c r="A46" s="917"/>
      <c r="C46" s="1563"/>
      <c r="D46" s="1565"/>
      <c r="E46" s="1591" t="s">
        <v>117</v>
      </c>
      <c r="F46" s="644" t="s">
        <v>819</v>
      </c>
      <c r="G46" s="1570" t="s">
        <v>636</v>
      </c>
      <c r="H46" s="514"/>
      <c r="I46" s="514"/>
      <c r="J46" s="227"/>
      <c r="K46" s="480"/>
      <c r="L46" s="1563"/>
      <c r="M46" s="1563"/>
      <c r="R46" s="1563"/>
      <c r="U46" s="481"/>
      <c r="AA46" s="1559"/>
      <c r="AB46" s="1559"/>
      <c r="AC46" s="1559"/>
      <c r="AD46" s="1559"/>
      <c r="AE46" s="1559"/>
      <c r="AF46" s="1087">
        <v>19</v>
      </c>
    </row>
    <row r="47" spans="1:32" ht="11.25" customHeight="1">
      <c r="D47" s="1565"/>
      <c r="AF47" s="1558">
        <v>11</v>
      </c>
    </row>
    <row r="48" spans="1:32" s="1568" customFormat="1" ht="11.2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2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25" customHeight="1">
      <c r="A50" s="917"/>
      <c r="B50" s="1563"/>
      <c r="C50" s="1563"/>
      <c r="D50" s="288"/>
      <c r="H50" s="503"/>
      <c r="I50" s="503"/>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2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2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2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2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2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2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2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2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2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2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2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2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2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2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2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2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2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2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2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2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2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2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2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2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2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2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2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2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2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2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2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2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2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2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2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2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2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2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2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2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2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2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2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2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2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2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2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2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2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2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2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2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2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2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2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2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2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2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2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2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2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2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2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2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2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2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2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2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2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2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2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2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2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2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2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2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2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2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2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2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2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2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2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2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2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2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2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2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2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2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2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2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2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2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2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2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2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2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2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2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2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2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2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2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2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2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2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2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2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2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2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2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2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2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2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2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2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2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2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2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2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2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2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2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2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2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2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2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2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2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2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2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2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2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2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2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2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2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2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2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2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2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2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2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2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s="1568" customFormat="1" ht="11.25" customHeight="1">
      <c r="A196" s="917"/>
      <c r="B196" s="1563"/>
      <c r="C196" s="1563"/>
      <c r="D196" s="288"/>
      <c r="K196" s="1087"/>
      <c r="L196" s="1563"/>
      <c r="M196" s="1563"/>
      <c r="N196" s="1087"/>
      <c r="O196" s="1087"/>
      <c r="P196" s="1087"/>
      <c r="Q196" s="1087"/>
      <c r="R196" s="1563"/>
      <c r="S196" s="1087"/>
      <c r="T196" s="1087"/>
      <c r="U196" s="481"/>
      <c r="V196" s="1087"/>
      <c r="W196" s="1087"/>
      <c r="X196" s="1087"/>
      <c r="Y196" s="1087"/>
      <c r="Z196" s="1087"/>
      <c r="AA196" s="1559"/>
      <c r="AB196" s="503"/>
      <c r="AC196" s="503"/>
      <c r="AD196" s="503"/>
      <c r="AE196" s="503"/>
      <c r="AF196" s="1568">
        <v>11</v>
      </c>
    </row>
    <row r="197" spans="1:32" s="1568" customFormat="1" ht="11.25" customHeight="1">
      <c r="A197" s="917"/>
      <c r="B197" s="1563"/>
      <c r="C197" s="1563"/>
      <c r="D197" s="288"/>
      <c r="K197" s="1087"/>
      <c r="L197" s="1563"/>
      <c r="M197" s="1563"/>
      <c r="N197" s="1087"/>
      <c r="O197" s="1087"/>
      <c r="P197" s="1087"/>
      <c r="Q197" s="1087"/>
      <c r="R197" s="1563"/>
      <c r="S197" s="1087"/>
      <c r="T197" s="1087"/>
      <c r="U197" s="481"/>
      <c r="V197" s="1087"/>
      <c r="W197" s="1087"/>
      <c r="X197" s="1087"/>
      <c r="Y197" s="1087"/>
      <c r="Z197" s="1087"/>
      <c r="AA197" s="1559"/>
      <c r="AB197" s="503"/>
      <c r="AC197" s="503"/>
      <c r="AD197" s="503"/>
      <c r="AE197" s="503"/>
      <c r="AF197" s="1568">
        <v>11</v>
      </c>
    </row>
    <row r="198" spans="1:32" s="1568" customFormat="1" ht="11.25" customHeight="1">
      <c r="A198" s="917"/>
      <c r="B198" s="1563"/>
      <c r="C198" s="1563"/>
      <c r="D198" s="288"/>
      <c r="K198" s="1087"/>
      <c r="L198" s="1563"/>
      <c r="M198" s="1563"/>
      <c r="N198" s="1087"/>
      <c r="O198" s="1087"/>
      <c r="P198" s="1087"/>
      <c r="Q198" s="1087"/>
      <c r="R198" s="1563"/>
      <c r="S198" s="1087"/>
      <c r="T198" s="1087"/>
      <c r="U198" s="481"/>
      <c r="V198" s="1087"/>
      <c r="W198" s="1087"/>
      <c r="X198" s="1087"/>
      <c r="Y198" s="1087"/>
      <c r="Z198" s="1087"/>
      <c r="AA198" s="1559"/>
      <c r="AB198" s="503"/>
      <c r="AC198" s="503"/>
      <c r="AD198" s="503"/>
      <c r="AE198" s="503"/>
      <c r="AF198" s="1568">
        <v>11</v>
      </c>
    </row>
    <row r="199" spans="1:32" s="1568" customFormat="1" ht="11.25" customHeight="1">
      <c r="A199" s="917"/>
      <c r="B199" s="1563"/>
      <c r="C199" s="1563"/>
      <c r="D199" s="288"/>
      <c r="K199" s="1087"/>
      <c r="L199" s="1563"/>
      <c r="M199" s="1563"/>
      <c r="N199" s="1087"/>
      <c r="O199" s="1087"/>
      <c r="P199" s="1087"/>
      <c r="Q199" s="1087"/>
      <c r="R199" s="1563"/>
      <c r="S199" s="1087"/>
      <c r="T199" s="1087"/>
      <c r="U199" s="481"/>
      <c r="V199" s="1087"/>
      <c r="W199" s="1087"/>
      <c r="X199" s="1087"/>
      <c r="Y199" s="1087"/>
      <c r="Z199" s="1087"/>
      <c r="AA199" s="1559"/>
      <c r="AB199" s="503"/>
      <c r="AC199" s="503"/>
      <c r="AD199" s="503"/>
      <c r="AE199" s="503"/>
      <c r="AF199" s="1568">
        <v>11</v>
      </c>
    </row>
    <row r="200" spans="1:32" s="1568" customFormat="1" ht="11.25" customHeight="1">
      <c r="A200" s="917"/>
      <c r="B200" s="1563"/>
      <c r="C200" s="1563"/>
      <c r="D200" s="288"/>
      <c r="K200" s="1087"/>
      <c r="L200" s="1563"/>
      <c r="M200" s="1563"/>
      <c r="N200" s="1087"/>
      <c r="O200" s="1087"/>
      <c r="P200" s="1087"/>
      <c r="Q200" s="1087"/>
      <c r="R200" s="1563"/>
      <c r="S200" s="1087"/>
      <c r="T200" s="1087"/>
      <c r="U200" s="481"/>
      <c r="V200" s="1087"/>
      <c r="W200" s="1087"/>
      <c r="X200" s="1087"/>
      <c r="Y200" s="1087"/>
      <c r="Z200" s="1087"/>
      <c r="AA200" s="1559"/>
      <c r="AB200" s="503"/>
      <c r="AC200" s="503"/>
      <c r="AD200" s="503"/>
      <c r="AE200" s="503"/>
      <c r="AF200" s="1568">
        <v>11</v>
      </c>
    </row>
    <row r="201" spans="1:32" s="1568" customFormat="1" ht="11.25" customHeight="1">
      <c r="A201" s="917"/>
      <c r="B201" s="1563"/>
      <c r="C201" s="1563"/>
      <c r="D201" s="288"/>
      <c r="K201" s="1087"/>
      <c r="L201" s="1563"/>
      <c r="M201" s="1563"/>
      <c r="N201" s="1087"/>
      <c r="O201" s="1087"/>
      <c r="P201" s="1087"/>
      <c r="Q201" s="1087"/>
      <c r="R201" s="1563"/>
      <c r="S201" s="1087"/>
      <c r="T201" s="1087"/>
      <c r="U201" s="481"/>
      <c r="V201" s="1087"/>
      <c r="W201" s="1087"/>
      <c r="X201" s="1087"/>
      <c r="Y201" s="1087"/>
      <c r="Z201" s="1087"/>
      <c r="AA201" s="1559"/>
      <c r="AB201" s="503"/>
      <c r="AC201" s="503"/>
      <c r="AD201" s="503"/>
      <c r="AE201" s="503"/>
      <c r="AF201" s="1568">
        <v>11</v>
      </c>
    </row>
    <row r="202" spans="1:32" s="1568" customFormat="1" ht="11.25" customHeight="1">
      <c r="A202" s="917"/>
      <c r="B202" s="1563"/>
      <c r="C202" s="1563"/>
      <c r="D202" s="288"/>
      <c r="K202" s="1087"/>
      <c r="L202" s="1563"/>
      <c r="M202" s="1563"/>
      <c r="N202" s="1087"/>
      <c r="O202" s="1087"/>
      <c r="P202" s="1087"/>
      <c r="Q202" s="1087"/>
      <c r="R202" s="1563"/>
      <c r="S202" s="1087"/>
      <c r="T202" s="1087"/>
      <c r="U202" s="481"/>
      <c r="V202" s="1087"/>
      <c r="W202" s="1087"/>
      <c r="X202" s="1087"/>
      <c r="Y202" s="1087"/>
      <c r="Z202" s="1087"/>
      <c r="AA202" s="1559"/>
      <c r="AB202" s="503"/>
      <c r="AC202" s="503"/>
      <c r="AD202" s="503"/>
      <c r="AE202" s="503"/>
      <c r="AF202" s="1568">
        <v>11</v>
      </c>
    </row>
    <row r="203" spans="1:32" ht="11.25" customHeight="1">
      <c r="AF203" s="1558">
        <v>11</v>
      </c>
    </row>
    <row r="204" spans="1:32" ht="11.25" customHeight="1">
      <c r="AF204" s="1558">
        <v>11</v>
      </c>
    </row>
    <row r="205" spans="1:32" ht="11.25" customHeight="1">
      <c r="AF205" s="1558">
        <v>11</v>
      </c>
    </row>
    <row r="206" spans="1:32" ht="11.2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2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2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2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customHeight="1">
      <c r="A210" s="920"/>
      <c r="B210" s="1558"/>
      <c r="D210" s="1558"/>
      <c r="K210" s="1558"/>
      <c r="N210" s="1558"/>
      <c r="O210" s="1558"/>
      <c r="P210" s="1558"/>
      <c r="Q210" s="1558"/>
      <c r="S210" s="1558"/>
      <c r="T210" s="1558"/>
      <c r="U210" s="1558"/>
      <c r="V210" s="1558"/>
      <c r="W210" s="1558"/>
      <c r="X210" s="1558"/>
      <c r="Y210" s="1558"/>
      <c r="Z210" s="1558"/>
      <c r="AA210" s="1558"/>
      <c r="AB210" s="1558"/>
      <c r="AC210" s="1558"/>
      <c r="AD210" s="1558"/>
      <c r="AE210" s="1558"/>
      <c r="AF210" s="1558">
        <v>11</v>
      </c>
    </row>
    <row r="211" spans="1:32" ht="11.25" customHeight="1">
      <c r="A211" s="920"/>
      <c r="B211" s="1558"/>
      <c r="D211" s="1558"/>
      <c r="K211" s="1558"/>
      <c r="N211" s="1558"/>
      <c r="O211" s="1558"/>
      <c r="P211" s="1558"/>
      <c r="Q211" s="1558"/>
      <c r="S211" s="1558"/>
      <c r="T211" s="1558"/>
      <c r="U211" s="1558"/>
      <c r="V211" s="1558"/>
      <c r="W211" s="1558"/>
      <c r="X211" s="1558"/>
      <c r="Y211" s="1558"/>
      <c r="Z211" s="1558"/>
      <c r="AA211" s="1558"/>
      <c r="AB211" s="1558"/>
      <c r="AC211" s="1558"/>
      <c r="AD211" s="1558"/>
      <c r="AE211" s="1558"/>
      <c r="AF211" s="1558">
        <v>11</v>
      </c>
    </row>
    <row r="212" spans="1:32" ht="11.25" customHeight="1">
      <c r="A212" s="920"/>
      <c r="B212" s="1558"/>
      <c r="D212" s="1558"/>
      <c r="K212" s="1558"/>
      <c r="N212" s="1558"/>
      <c r="O212" s="1558"/>
      <c r="P212" s="1558"/>
      <c r="Q212" s="1558"/>
      <c r="S212" s="1558"/>
      <c r="T212" s="1558"/>
      <c r="U212" s="1558"/>
      <c r="V212" s="1558"/>
      <c r="W212" s="1558"/>
      <c r="X212" s="1558"/>
      <c r="Y212" s="1558"/>
      <c r="Z212" s="1558"/>
      <c r="AA212" s="1558"/>
      <c r="AB212" s="1558"/>
      <c r="AC212" s="1558"/>
      <c r="AD212" s="1558"/>
      <c r="AE212" s="1558"/>
      <c r="AF212" s="1558">
        <v>11</v>
      </c>
    </row>
    <row r="213" spans="1:32" ht="11.25" customHeight="1">
      <c r="A213" s="920"/>
      <c r="B213" s="1558"/>
      <c r="D213" s="1558"/>
      <c r="K213" s="1558"/>
      <c r="N213" s="1558"/>
      <c r="O213" s="1558"/>
      <c r="P213" s="1558"/>
      <c r="Q213" s="1558"/>
      <c r="S213" s="1558"/>
      <c r="T213" s="1558"/>
      <c r="U213" s="1558"/>
      <c r="V213" s="1558"/>
      <c r="W213" s="1558"/>
      <c r="X213" s="1558"/>
      <c r="Y213" s="1558"/>
      <c r="Z213" s="1558"/>
      <c r="AA213" s="1558"/>
      <c r="AB213" s="1558"/>
      <c r="AC213" s="1558"/>
      <c r="AD213" s="1558"/>
      <c r="AE213" s="1558"/>
      <c r="AF213" s="1558">
        <v>11</v>
      </c>
    </row>
    <row r="214" spans="1:32" ht="11.25" customHeight="1">
      <c r="A214" s="920"/>
      <c r="B214" s="1558"/>
      <c r="D214" s="1558"/>
      <c r="K214" s="1558"/>
      <c r="N214" s="1558"/>
      <c r="O214" s="1558"/>
      <c r="P214" s="1558"/>
      <c r="Q214" s="1558"/>
      <c r="S214" s="1558"/>
      <c r="T214" s="1558"/>
      <c r="U214" s="1558"/>
      <c r="V214" s="1558"/>
      <c r="W214" s="1558"/>
      <c r="X214" s="1558"/>
      <c r="Y214" s="1558"/>
      <c r="Z214" s="1558"/>
      <c r="AA214" s="1558"/>
      <c r="AB214" s="1558"/>
      <c r="AC214" s="1558"/>
      <c r="AD214" s="1558"/>
      <c r="AE214" s="1558"/>
      <c r="AF214" s="1558">
        <v>11</v>
      </c>
    </row>
    <row r="215" spans="1:32" ht="11.25" customHeight="1">
      <c r="A215" s="920"/>
      <c r="B215" s="1558"/>
      <c r="D215" s="1558"/>
      <c r="K215" s="1558"/>
      <c r="N215" s="1558"/>
      <c r="O215" s="1558"/>
      <c r="P215" s="1558"/>
      <c r="Q215" s="1558"/>
      <c r="S215" s="1558"/>
      <c r="T215" s="1558"/>
      <c r="U215" s="1558"/>
      <c r="V215" s="1558"/>
      <c r="W215" s="1558"/>
      <c r="X215" s="1558"/>
      <c r="Y215" s="1558"/>
      <c r="Z215" s="1558"/>
      <c r="AA215" s="1558"/>
      <c r="AB215" s="1558"/>
      <c r="AC215" s="1558"/>
      <c r="AD215" s="1558"/>
      <c r="AE215" s="1558"/>
      <c r="AF215" s="1558">
        <v>11</v>
      </c>
    </row>
    <row r="216" spans="1:32" ht="11.25" customHeight="1">
      <c r="A216" s="920"/>
      <c r="B216" s="1558"/>
      <c r="D216" s="1558"/>
      <c r="K216" s="1558"/>
      <c r="N216" s="1558"/>
      <c r="O216" s="1558"/>
      <c r="P216" s="1558"/>
      <c r="Q216" s="1558"/>
      <c r="S216" s="1558"/>
      <c r="T216" s="1558"/>
      <c r="U216" s="1558"/>
      <c r="V216" s="1558"/>
      <c r="W216" s="1558"/>
      <c r="X216" s="1558"/>
      <c r="Y216" s="1558"/>
      <c r="Z216" s="1558"/>
      <c r="AA216" s="1558"/>
      <c r="AB216" s="1558"/>
      <c r="AC216" s="1558"/>
      <c r="AD216" s="1558"/>
      <c r="AE216" s="1558"/>
      <c r="AF216" s="1558">
        <v>11</v>
      </c>
    </row>
    <row r="217" spans="1:32" ht="11.25" hidden="1" customHeight="1">
      <c r="A217" s="917" t="s">
        <v>87</v>
      </c>
      <c r="B217" s="1087">
        <v>0</v>
      </c>
      <c r="C217" s="1563">
        <v>0</v>
      </c>
      <c r="D217" s="1562">
        <v>3</v>
      </c>
      <c r="E217" s="1558">
        <v>7</v>
      </c>
      <c r="F217" s="1558">
        <v>56</v>
      </c>
      <c r="G217" s="1558">
        <v>10</v>
      </c>
      <c r="H217" s="1558">
        <v>0</v>
      </c>
      <c r="I217" s="1558">
        <v>40</v>
      </c>
      <c r="J217" s="1558">
        <v>102</v>
      </c>
      <c r="K217" s="1087">
        <v>9</v>
      </c>
      <c r="L217" s="1563">
        <v>5</v>
      </c>
      <c r="M217" s="1563">
        <v>3</v>
      </c>
      <c r="N217" s="1087">
        <v>3</v>
      </c>
      <c r="O217" s="1087">
        <v>3</v>
      </c>
      <c r="P217" s="1087">
        <v>3</v>
      </c>
      <c r="Q217" s="1087">
        <v>3</v>
      </c>
      <c r="R217" s="1563">
        <v>10</v>
      </c>
      <c r="S217" s="1087">
        <v>34</v>
      </c>
      <c r="T217" s="1087">
        <v>9</v>
      </c>
      <c r="U217" s="481">
        <v>8</v>
      </c>
      <c r="V217" s="1087">
        <v>8</v>
      </c>
      <c r="W217" s="1087">
        <v>8</v>
      </c>
      <c r="X217" s="1087">
        <v>8</v>
      </c>
      <c r="Y217" s="1087">
        <v>8</v>
      </c>
      <c r="Z217" s="1087">
        <v>8</v>
      </c>
      <c r="AA217" s="1559">
        <v>8</v>
      </c>
      <c r="AB217" s="1559">
        <v>8</v>
      </c>
      <c r="AC217" s="1559">
        <v>8</v>
      </c>
      <c r="AD217" s="1559">
        <v>8</v>
      </c>
      <c r="AE217" s="1559">
        <v>8</v>
      </c>
      <c r="AF217" s="1558">
        <v>11</v>
      </c>
    </row>
  </sheetData>
  <sheetProtection formatColumns="0" formatRows="0" insertRows="0" deleteColumns="0" deleteRows="0" sort="0" autoFilter="0"/>
  <mergeCells count="7">
    <mergeCell ref="E6:I6"/>
    <mergeCell ref="E7:I7"/>
    <mergeCell ref="F10:G10"/>
    <mergeCell ref="J10:J14"/>
    <mergeCell ref="F11:G11"/>
    <mergeCell ref="F12:G12"/>
    <mergeCell ref="E13:G13"/>
  </mergeCells>
  <dataValidations count="5">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33:I33">
      <formula1>900</formula1>
    </dataValidation>
    <dataValidation type="decimal" allowBlank="1" showErrorMessage="1" errorTitle="Ошибка" error="Допускается ввод только неотрицательных чисел!" sqref="H38:I39 H2:I2 H15:I15 H17:I32 H35:I35 H44:I46">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43:I43">
      <formula1>900</formula1>
    </dataValidation>
    <dataValidation type="decimal" allowBlank="1" showErrorMessage="1" errorTitle="Ошибка" error="Допускается ввод только действительных чисел!" sqref="H36:I37">
      <formula1>-9.99999999999999E+23</formula1>
      <formula2>9.99999999999999E+23</formula2>
    </dataValidation>
    <dataValidation type="decimal" allowBlank="1" showErrorMessage="1" errorTitle="Ошибка" error="Допускается ввод только действительных чисел!" sqref="H40:I42">
      <formula1>-9.99999999999999E+37</formula1>
      <formula2>9.99999999999999E+37</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F210"/>
  <sheetViews>
    <sheetView showGridLines="0" zoomScale="90" workbookViewId="0">
      <pane xSplit="8" ySplit="14" topLeftCell="I15" activePane="bottomRight" state="frozen"/>
      <selection pane="topRight" activeCell="I1" sqref="I1"/>
      <selection pane="bottomLeft" activeCell="A15" sqref="A15"/>
      <selection pane="bottomRight"/>
    </sheetView>
  </sheetViews>
  <sheetFormatPr defaultColWidth="9.140625" defaultRowHeight="11.25" customHeight="1"/>
  <cols>
    <col min="1" max="1" width="10.7109375" style="917" hidden="1" customWidth="1"/>
    <col min="2" max="2" width="16.85546875" style="1293" hidden="1" customWidth="1"/>
    <col min="3" max="3" width="5.5703125" style="1569" hidden="1" customWidth="1"/>
    <col min="4" max="4" width="3" style="1562" customWidth="1"/>
    <col min="5" max="5" width="7" style="1562" customWidth="1"/>
    <col min="6" max="6" width="54" style="1562" customWidth="1"/>
    <col min="7" max="7" width="10" style="1562" customWidth="1"/>
    <col min="8" max="8" width="40.7109375" style="1562" hidden="1" customWidth="1"/>
    <col min="9" max="9" width="40" style="1562" customWidth="1"/>
    <col min="10" max="10" width="102" style="1562" customWidth="1"/>
    <col min="11" max="11" width="9" style="1293" customWidth="1"/>
    <col min="12" max="12" width="5" style="1569" customWidth="1"/>
    <col min="13" max="13" width="3" style="1569" customWidth="1"/>
    <col min="14" max="17" width="3" style="1293" customWidth="1"/>
    <col min="18" max="18" width="10" style="1569" customWidth="1"/>
    <col min="19" max="19" width="34" style="1293" customWidth="1"/>
    <col min="20" max="20" width="9" style="1293" customWidth="1"/>
    <col min="21" max="21" width="8" style="673" customWidth="1"/>
    <col min="22" max="26" width="8" style="1293" customWidth="1"/>
    <col min="27" max="31" width="8" style="1559" customWidth="1"/>
    <col min="32" max="32" width="9.140625" style="1562" hidden="1"/>
  </cols>
  <sheetData>
    <row r="1" spans="1:32" s="1293" customFormat="1" ht="22.5" hidden="1" customHeight="1">
      <c r="A1" s="917"/>
      <c r="C1" s="1563"/>
      <c r="D1" s="474"/>
      <c r="H1" s="1087">
        <v>4</v>
      </c>
      <c r="I1" s="1087">
        <v>4</v>
      </c>
      <c r="L1" s="1563"/>
      <c r="M1" s="1563"/>
      <c r="R1" s="1563"/>
      <c r="AF1" s="1087" t="s">
        <v>14</v>
      </c>
    </row>
    <row r="2" spans="1:32" s="1293" customFormat="1" ht="22.5" hidden="1" customHeight="1">
      <c r="A2" s="917"/>
      <c r="C2" s="1563"/>
      <c r="D2" s="475"/>
      <c r="E2" s="1585"/>
      <c r="F2" s="477"/>
      <c r="G2" s="1584" t="s">
        <v>598</v>
      </c>
      <c r="H2" s="478"/>
      <c r="I2" s="478"/>
      <c r="J2" s="479" t="s">
        <v>601</v>
      </c>
      <c r="K2" s="480"/>
      <c r="L2" s="1563"/>
      <c r="M2" s="1563"/>
      <c r="R2" s="1563"/>
      <c r="U2" s="481"/>
      <c r="AA2" s="1559"/>
      <c r="AB2" s="1559"/>
      <c r="AC2" s="1559"/>
      <c r="AD2" s="1559"/>
      <c r="AE2" s="1559"/>
      <c r="AF2" s="1087">
        <v>0</v>
      </c>
    </row>
    <row r="3" spans="1:32" ht="11.25" hidden="1" customHeight="1">
      <c r="AF3" s="1558">
        <v>0</v>
      </c>
    </row>
    <row r="4" spans="1:32" s="1559" customFormat="1" ht="11.25" hidden="1" customHeight="1">
      <c r="A4" s="917"/>
      <c r="B4" s="1087"/>
      <c r="C4" s="1563"/>
      <c r="D4" s="299"/>
      <c r="J4" s="1559">
        <v>4</v>
      </c>
      <c r="K4" s="1087"/>
      <c r="L4" s="1563"/>
      <c r="M4" s="1563"/>
      <c r="N4" s="1087"/>
      <c r="O4" s="1087"/>
      <c r="P4" s="1087"/>
      <c r="Q4" s="1087"/>
      <c r="R4" s="1563"/>
      <c r="S4" s="1087"/>
      <c r="T4" s="1087"/>
      <c r="U4" s="481"/>
      <c r="V4" s="1087"/>
      <c r="W4" s="1087"/>
      <c r="X4" s="1087"/>
      <c r="Y4" s="1087"/>
      <c r="Z4" s="1087"/>
      <c r="AF4" s="1559">
        <v>0</v>
      </c>
    </row>
    <row r="5" spans="1:32" ht="11.25" customHeight="1">
      <c r="AF5" s="1558">
        <v>11</v>
      </c>
    </row>
    <row r="6" spans="1:32" ht="33.75" customHeight="1">
      <c r="E6" s="2877" t="s">
        <v>820</v>
      </c>
      <c r="F6" s="2877"/>
      <c r="G6" s="2877"/>
      <c r="H6" s="2877"/>
      <c r="I6" s="2877"/>
      <c r="J6" s="493"/>
      <c r="AF6" s="1558">
        <v>32</v>
      </c>
    </row>
    <row r="7" spans="1:32" ht="25.5" customHeight="1">
      <c r="E7" s="2849" t="str">
        <f>IF(org=0,"Не определено",org)</f>
        <v>ТМУП "ТТС"</v>
      </c>
      <c r="F7" s="2849"/>
      <c r="G7" s="2849"/>
      <c r="H7" s="2849"/>
      <c r="I7" s="2849"/>
      <c r="AF7" s="1558">
        <v>24</v>
      </c>
    </row>
    <row r="8" spans="1:32" ht="11.25" customHeight="1">
      <c r="E8" s="1062"/>
      <c r="F8" s="1062"/>
      <c r="G8" s="1062"/>
      <c r="H8" s="1062"/>
      <c r="I8" s="1062"/>
      <c r="AF8" s="1558">
        <v>11</v>
      </c>
    </row>
    <row r="9" spans="1:32" s="1569" customFormat="1" ht="0.75" customHeight="1">
      <c r="A9" s="1094"/>
      <c r="H9" s="819"/>
      <c r="I9" s="819" t="s">
        <v>122</v>
      </c>
      <c r="AF9" s="1563">
        <v>1</v>
      </c>
    </row>
    <row r="10" spans="1:32" ht="11.25" customHeight="1">
      <c r="E10" s="648"/>
      <c r="F10" s="2984" t="s">
        <v>110</v>
      </c>
      <c r="G10" s="2985"/>
      <c r="H10" s="1586" t="str">
        <f>IF(H9="","",INDEX(DIFFERENTIATION_UNMERGE_VD,MATCH(H9,DIFFERENTIATION_ID_DIFF,0)))</f>
        <v/>
      </c>
      <c r="I10" s="1586">
        <f>IF(I9="","",INDEX(DIFFERENTIATION_UNMERGE_VD,MATCH(I9,DIFFERENTIATION_ID_DIFF,0)))</f>
        <v>0</v>
      </c>
      <c r="J10" s="2758"/>
      <c r="AF10" s="1558">
        <v>11</v>
      </c>
    </row>
    <row r="11" spans="1:32" ht="11.25" customHeight="1">
      <c r="E11" s="648"/>
      <c r="F11" s="2984" t="s">
        <v>610</v>
      </c>
      <c r="G11" s="2985"/>
      <c r="H11" s="1586" t="str">
        <f>IF(H9="","",INDEX(DIFFERENTIATION_UNMERGE_AREA,MATCH(H9,DIFFERENTIATION_ID_DIFF,0)))</f>
        <v/>
      </c>
      <c r="I11" s="1586" t="str">
        <f>IF(I9="","",INDEX(DIFFERENTIATION_UNMERGE_AREA,MATCH(I9,DIFFERENTIATION_ID_DIFF,0)))</f>
        <v/>
      </c>
      <c r="J11" s="2758"/>
      <c r="AF11" s="1558">
        <v>11</v>
      </c>
    </row>
    <row r="12" spans="1:32" ht="11.25" hidden="1" customHeight="1">
      <c r="E12" s="1589"/>
      <c r="F12" s="3002" t="s">
        <v>611</v>
      </c>
      <c r="G12" s="3003"/>
      <c r="H12" s="1590" t="str">
        <f>IF(H9="","",INDEX(DIFFERENTIATION_UNMERGE_SYSTEM,MATCH(H9,DIFFERENTIATION_ID_DIFF,0)))</f>
        <v/>
      </c>
      <c r="I12" s="1590" t="str">
        <f>IF(I9="","",INDEX(DIFFERENTIATION_UNMERGE_SYSTEM,MATCH(I9,DIFFERENTIATION_ID_DIFF,0)))</f>
        <v>без дифференциации</v>
      </c>
      <c r="J12" s="2758"/>
      <c r="AF12" s="1558">
        <v>0</v>
      </c>
    </row>
    <row r="13" spans="1:32" ht="11.25" customHeight="1">
      <c r="E13" s="2986" t="s">
        <v>345</v>
      </c>
      <c r="F13" s="2987"/>
      <c r="G13" s="2987"/>
      <c r="H13" s="1583"/>
      <c r="I13" s="1583"/>
      <c r="J13" s="2758"/>
      <c r="AF13" s="1558">
        <v>11</v>
      </c>
    </row>
    <row r="14" spans="1:32" ht="24" customHeight="1">
      <c r="E14" s="1584" t="s">
        <v>93</v>
      </c>
      <c r="F14" s="1587" t="s">
        <v>347</v>
      </c>
      <c r="G14" s="1587" t="s">
        <v>612</v>
      </c>
      <c r="H14" s="1587" t="s">
        <v>348</v>
      </c>
      <c r="I14" s="1587" t="s">
        <v>348</v>
      </c>
      <c r="J14" s="2758"/>
      <c r="AF14" s="1558">
        <v>23</v>
      </c>
    </row>
    <row r="15" spans="1:32" ht="20.25" customHeight="1">
      <c r="D15" s="1565"/>
      <c r="E15" s="1557" t="s">
        <v>114</v>
      </c>
      <c r="F15" s="644" t="s">
        <v>821</v>
      </c>
      <c r="G15" s="1584" t="s">
        <v>598</v>
      </c>
      <c r="H15" s="494"/>
      <c r="I15" s="494"/>
      <c r="J15" s="227" t="s">
        <v>822</v>
      </c>
      <c r="K15" s="480" t="s">
        <v>676</v>
      </c>
      <c r="AF15" s="1558">
        <v>19</v>
      </c>
    </row>
    <row r="16" spans="1:32" ht="24" customHeight="1">
      <c r="D16" s="1565"/>
      <c r="E16" s="1557" t="s">
        <v>115</v>
      </c>
      <c r="F16" s="1592" t="s">
        <v>823</v>
      </c>
      <c r="G16" s="1584" t="s">
        <v>598</v>
      </c>
      <c r="H16" s="495">
        <f>SUM(H17,H20:H27)</f>
        <v>0</v>
      </c>
      <c r="I16" s="495">
        <f>SUM(I17,I20:I27)</f>
        <v>0</v>
      </c>
      <c r="J16" s="227" t="s">
        <v>824</v>
      </c>
      <c r="K16" s="480" t="s">
        <v>676</v>
      </c>
      <c r="AF16" s="1558">
        <v>23</v>
      </c>
    </row>
    <row r="17" spans="1:32" ht="36" customHeight="1">
      <c r="D17" s="1565"/>
      <c r="E17" s="1591" t="s">
        <v>754</v>
      </c>
      <c r="F17" s="1594" t="s">
        <v>825</v>
      </c>
      <c r="G17" s="1581" t="s">
        <v>598</v>
      </c>
      <c r="H17" s="494"/>
      <c r="I17" s="494"/>
      <c r="J17" s="227" t="s">
        <v>826</v>
      </c>
      <c r="K17" s="480"/>
      <c r="AF17" s="1558">
        <v>34</v>
      </c>
    </row>
    <row r="18" spans="1:32" ht="20.25" customHeight="1">
      <c r="D18" s="1565"/>
      <c r="E18" s="1591" t="s">
        <v>757</v>
      </c>
      <c r="F18" s="1595" t="s">
        <v>827</v>
      </c>
      <c r="G18" s="1581" t="s">
        <v>598</v>
      </c>
      <c r="H18" s="494"/>
      <c r="I18" s="494"/>
      <c r="J18" s="227"/>
      <c r="K18" s="480"/>
      <c r="AF18" s="1558">
        <v>19</v>
      </c>
    </row>
    <row r="19" spans="1:32" ht="24" customHeight="1">
      <c r="D19" s="1565"/>
      <c r="E19" s="1591" t="s">
        <v>760</v>
      </c>
      <c r="F19" s="1595" t="s">
        <v>828</v>
      </c>
      <c r="G19" s="1581" t="s">
        <v>598</v>
      </c>
      <c r="H19" s="494"/>
      <c r="I19" s="494"/>
      <c r="J19" s="227"/>
      <c r="K19" s="480"/>
      <c r="AF19" s="1558">
        <v>23</v>
      </c>
    </row>
    <row r="20" spans="1:32" ht="36" customHeight="1">
      <c r="D20" s="1565"/>
      <c r="E20" s="1591" t="s">
        <v>352</v>
      </c>
      <c r="F20" s="1594" t="s">
        <v>829</v>
      </c>
      <c r="G20" s="1581" t="s">
        <v>598</v>
      </c>
      <c r="H20" s="494"/>
      <c r="I20" s="494"/>
      <c r="J20" s="227"/>
      <c r="K20" s="480"/>
      <c r="AF20" s="1558">
        <v>34</v>
      </c>
    </row>
    <row r="21" spans="1:32" ht="48" customHeight="1">
      <c r="D21" s="1565"/>
      <c r="E21" s="1591" t="s">
        <v>355</v>
      </c>
      <c r="F21" s="1594" t="s">
        <v>830</v>
      </c>
      <c r="G21" s="1581" t="s">
        <v>598</v>
      </c>
      <c r="H21" s="494"/>
      <c r="I21" s="494"/>
      <c r="J21" s="227"/>
      <c r="K21" s="480"/>
      <c r="AF21" s="1558">
        <v>46</v>
      </c>
    </row>
    <row r="22" spans="1:32" ht="60" customHeight="1">
      <c r="D22" s="1565"/>
      <c r="E22" s="1591" t="s">
        <v>774</v>
      </c>
      <c r="F22" s="1594" t="s">
        <v>831</v>
      </c>
      <c r="G22" s="1581" t="s">
        <v>598</v>
      </c>
      <c r="H22" s="494"/>
      <c r="I22" s="494"/>
      <c r="J22" s="227"/>
      <c r="K22" s="480"/>
      <c r="AF22" s="1558">
        <v>57</v>
      </c>
    </row>
    <row r="23" spans="1:32" ht="36" customHeight="1">
      <c r="D23" s="1565"/>
      <c r="E23" s="1591" t="s">
        <v>781</v>
      </c>
      <c r="F23" s="1594" t="s">
        <v>832</v>
      </c>
      <c r="G23" s="1581" t="s">
        <v>598</v>
      </c>
      <c r="H23" s="494"/>
      <c r="I23" s="494"/>
      <c r="J23" s="227"/>
      <c r="K23" s="480"/>
      <c r="AF23" s="1558">
        <v>34</v>
      </c>
    </row>
    <row r="24" spans="1:32" ht="36" customHeight="1">
      <c r="D24" s="1565"/>
      <c r="E24" s="1591" t="s">
        <v>783</v>
      </c>
      <c r="F24" s="1594" t="s">
        <v>833</v>
      </c>
      <c r="G24" s="1581" t="s">
        <v>598</v>
      </c>
      <c r="H24" s="494"/>
      <c r="I24" s="494"/>
      <c r="J24" s="227"/>
      <c r="K24" s="480"/>
      <c r="AF24" s="1558">
        <v>34</v>
      </c>
    </row>
    <row r="25" spans="1:32" ht="24" customHeight="1">
      <c r="D25" s="1565"/>
      <c r="E25" s="1591" t="s">
        <v>785</v>
      </c>
      <c r="F25" s="1594" t="s">
        <v>834</v>
      </c>
      <c r="G25" s="1581" t="s">
        <v>598</v>
      </c>
      <c r="H25" s="494"/>
      <c r="I25" s="494"/>
      <c r="J25" s="227"/>
      <c r="K25" s="480"/>
      <c r="AF25" s="1558">
        <v>23</v>
      </c>
    </row>
    <row r="26" spans="1:32" ht="76.5" customHeight="1">
      <c r="D26" s="1565"/>
      <c r="E26" s="1591" t="s">
        <v>787</v>
      </c>
      <c r="F26" s="1594" t="s">
        <v>835</v>
      </c>
      <c r="G26" s="1581" t="s">
        <v>598</v>
      </c>
      <c r="H26" s="494"/>
      <c r="I26" s="494"/>
      <c r="J26" s="227"/>
      <c r="K26" s="480"/>
      <c r="AF26" s="1558">
        <v>73</v>
      </c>
    </row>
    <row r="27" spans="1:32" s="1293" customFormat="1" ht="36" customHeight="1">
      <c r="A27" s="917"/>
      <c r="C27" s="1563"/>
      <c r="D27" s="1565"/>
      <c r="E27" s="1556" t="s">
        <v>791</v>
      </c>
      <c r="F27" s="1555" t="s">
        <v>836</v>
      </c>
      <c r="G27" s="1582" t="s">
        <v>598</v>
      </c>
      <c r="H27" s="516">
        <f>SUM(H28:H29)</f>
        <v>0</v>
      </c>
      <c r="I27" s="516">
        <f>SUM(I28:I29)</f>
        <v>0</v>
      </c>
      <c r="J27" s="227" t="s">
        <v>789</v>
      </c>
      <c r="K27" s="480"/>
      <c r="L27" s="1563"/>
      <c r="M27" s="1563"/>
      <c r="R27" s="1563"/>
      <c r="U27" s="481"/>
      <c r="AA27" s="1559"/>
      <c r="AB27" s="1559"/>
      <c r="AC27" s="1559"/>
      <c r="AD27" s="1559"/>
      <c r="AE27" s="1559"/>
      <c r="AF27" s="1087">
        <v>34</v>
      </c>
    </row>
    <row r="28" spans="1:32" s="1569" customFormat="1" ht="0.75" customHeight="1">
      <c r="A28" s="1094"/>
      <c r="D28" s="485"/>
      <c r="E28" s="733" t="str">
        <f>E27&amp;".0"</f>
        <v>2.9.0</v>
      </c>
      <c r="F28" s="921"/>
      <c r="G28" s="488"/>
      <c r="H28" s="922"/>
      <c r="I28" s="922"/>
      <c r="J28" s="923"/>
      <c r="AF28" s="1563">
        <v>1</v>
      </c>
    </row>
    <row r="29" spans="1:32" s="1293" customFormat="1" ht="20.25" customHeight="1">
      <c r="A29" s="917"/>
      <c r="C29" s="1563"/>
      <c r="D29" s="1560"/>
      <c r="E29" s="507"/>
      <c r="F29" s="1593" t="s">
        <v>623</v>
      </c>
      <c r="G29" s="509"/>
      <c r="H29" s="510"/>
      <c r="I29" s="510"/>
      <c r="J29" s="239" t="s">
        <v>790</v>
      </c>
      <c r="K29" s="480"/>
      <c r="L29" s="1563"/>
      <c r="M29" s="1563"/>
      <c r="R29" s="1563"/>
      <c r="U29" s="481"/>
      <c r="AA29" s="1559"/>
      <c r="AB29" s="1559"/>
      <c r="AC29" s="1559"/>
      <c r="AD29" s="1559"/>
      <c r="AE29" s="1559"/>
      <c r="AF29" s="1087">
        <v>19</v>
      </c>
    </row>
    <row r="30" spans="1:32" s="1293" customFormat="1" ht="24" customHeight="1">
      <c r="A30" s="917"/>
      <c r="C30" s="1563"/>
      <c r="D30" s="1565"/>
      <c r="E30" s="1591" t="s">
        <v>95</v>
      </c>
      <c r="F30" s="1588" t="s">
        <v>837</v>
      </c>
      <c r="G30" s="1581" t="s">
        <v>598</v>
      </c>
      <c r="H30" s="494"/>
      <c r="I30" s="494"/>
      <c r="J30" s="227"/>
      <c r="K30" s="480"/>
      <c r="L30" s="1563"/>
      <c r="M30" s="1563"/>
      <c r="R30" s="1563"/>
      <c r="U30" s="481"/>
      <c r="AA30" s="1559"/>
      <c r="AB30" s="1559"/>
      <c r="AC30" s="1559"/>
      <c r="AD30" s="1559"/>
      <c r="AE30" s="1559"/>
      <c r="AF30" s="1087">
        <v>23</v>
      </c>
    </row>
    <row r="31" spans="1:32" s="1293" customFormat="1" ht="36" customHeight="1">
      <c r="A31" s="917"/>
      <c r="C31" s="1563"/>
      <c r="D31" s="512"/>
      <c r="E31" s="1591" t="s">
        <v>96</v>
      </c>
      <c r="F31" s="1588" t="s">
        <v>838</v>
      </c>
      <c r="G31" s="1581" t="s">
        <v>598</v>
      </c>
      <c r="H31" s="494"/>
      <c r="I31" s="494"/>
      <c r="J31" s="227" t="s">
        <v>839</v>
      </c>
      <c r="K31" s="480"/>
      <c r="L31" s="1563"/>
      <c r="M31" s="1563"/>
      <c r="R31" s="1563"/>
      <c r="U31" s="481"/>
      <c r="AA31" s="1559"/>
      <c r="AB31" s="1559"/>
      <c r="AC31" s="1559"/>
      <c r="AD31" s="1559"/>
      <c r="AE31" s="1559"/>
      <c r="AF31" s="1087">
        <v>34</v>
      </c>
    </row>
    <row r="32" spans="1:32" s="1293" customFormat="1" ht="24" customHeight="1">
      <c r="A32" s="917"/>
      <c r="C32" s="1563"/>
      <c r="D32" s="1565"/>
      <c r="E32" s="1591" t="s">
        <v>799</v>
      </c>
      <c r="F32" s="627" t="s">
        <v>803</v>
      </c>
      <c r="G32" s="1581" t="s">
        <v>598</v>
      </c>
      <c r="H32" s="494"/>
      <c r="I32" s="494"/>
      <c r="J32" s="227" t="s">
        <v>840</v>
      </c>
      <c r="K32" s="480"/>
      <c r="L32" s="1563"/>
      <c r="M32" s="1563"/>
      <c r="R32" s="1563"/>
      <c r="U32" s="481"/>
      <c r="AA32" s="1559"/>
      <c r="AB32" s="1559"/>
      <c r="AC32" s="1559"/>
      <c r="AD32" s="1559"/>
      <c r="AE32" s="1559"/>
      <c r="AF32" s="1087">
        <v>23</v>
      </c>
    </row>
    <row r="33" spans="1:32" s="1293" customFormat="1" ht="24" customHeight="1">
      <c r="A33" s="917"/>
      <c r="C33" s="1563"/>
      <c r="D33" s="1565"/>
      <c r="E33" s="1591" t="s">
        <v>841</v>
      </c>
      <c r="F33" s="627" t="s">
        <v>842</v>
      </c>
      <c r="G33" s="1581" t="s">
        <v>598</v>
      </c>
      <c r="H33" s="494"/>
      <c r="I33" s="494"/>
      <c r="J33" s="227" t="s">
        <v>843</v>
      </c>
      <c r="K33" s="480"/>
      <c r="L33" s="1563"/>
      <c r="M33" s="1563"/>
      <c r="R33" s="1563"/>
      <c r="U33" s="481"/>
      <c r="AA33" s="1559"/>
      <c r="AB33" s="1559"/>
      <c r="AC33" s="1559"/>
      <c r="AD33" s="1559"/>
      <c r="AE33" s="1559"/>
      <c r="AF33" s="1087">
        <v>23</v>
      </c>
    </row>
    <row r="34" spans="1:32" s="1293" customFormat="1" ht="24" customHeight="1">
      <c r="A34" s="917"/>
      <c r="C34" s="1563"/>
      <c r="D34" s="1565"/>
      <c r="E34" s="1591" t="s">
        <v>844</v>
      </c>
      <c r="F34" s="627" t="s">
        <v>809</v>
      </c>
      <c r="G34" s="1581" t="s">
        <v>598</v>
      </c>
      <c r="H34" s="494"/>
      <c r="I34" s="494"/>
      <c r="J34" s="227" t="s">
        <v>845</v>
      </c>
      <c r="K34" s="480"/>
      <c r="L34" s="1563"/>
      <c r="M34" s="1563"/>
      <c r="R34" s="1563"/>
      <c r="U34" s="481"/>
      <c r="AA34" s="1559"/>
      <c r="AB34" s="1559"/>
      <c r="AC34" s="1559"/>
      <c r="AD34" s="1559"/>
      <c r="AE34" s="1559"/>
      <c r="AF34" s="1087">
        <v>23</v>
      </c>
    </row>
    <row r="35" spans="1:32" s="1293" customFormat="1" ht="36" customHeight="1">
      <c r="A35" s="917"/>
      <c r="C35" s="1563" t="s">
        <v>634</v>
      </c>
      <c r="D35" s="1565"/>
      <c r="E35" s="1591" t="s">
        <v>116</v>
      </c>
      <c r="F35" s="1588" t="s">
        <v>675</v>
      </c>
      <c r="G35" s="1584" t="s">
        <v>351</v>
      </c>
      <c r="H35" s="338"/>
      <c r="I35" s="338"/>
      <c r="J35" s="227" t="s">
        <v>846</v>
      </c>
      <c r="K35" s="480"/>
      <c r="L35" s="1563"/>
      <c r="M35" s="1563"/>
      <c r="R35" s="1563"/>
      <c r="U35" s="481"/>
      <c r="AA35" s="1559"/>
      <c r="AB35" s="1559"/>
      <c r="AC35" s="1559"/>
      <c r="AD35" s="1559"/>
      <c r="AE35" s="1559"/>
      <c r="AF35" s="1087">
        <v>34</v>
      </c>
    </row>
    <row r="36" spans="1:32" s="1293" customFormat="1" ht="36" customHeight="1">
      <c r="A36" s="917"/>
      <c r="C36" s="1563"/>
      <c r="D36" s="1565"/>
      <c r="E36" s="1591" t="s">
        <v>97</v>
      </c>
      <c r="F36" s="1588" t="s">
        <v>847</v>
      </c>
      <c r="G36" s="1581" t="s">
        <v>814</v>
      </c>
      <c r="H36" s="482"/>
      <c r="I36" s="482"/>
      <c r="J36" s="227" t="s">
        <v>815</v>
      </c>
      <c r="K36" s="480"/>
      <c r="L36" s="1563"/>
      <c r="M36" s="1563"/>
      <c r="R36" s="1563"/>
      <c r="U36" s="481"/>
      <c r="AA36" s="1559"/>
      <c r="AB36" s="1559"/>
      <c r="AC36" s="1559"/>
      <c r="AD36" s="1559"/>
      <c r="AE36" s="1559"/>
      <c r="AF36" s="1087">
        <v>34</v>
      </c>
    </row>
    <row r="37" spans="1:32" s="1293" customFormat="1" ht="24" customHeight="1">
      <c r="A37" s="917"/>
      <c r="C37" s="1563"/>
      <c r="D37" s="1565"/>
      <c r="E37" s="1591" t="s">
        <v>98</v>
      </c>
      <c r="F37" s="1588" t="s">
        <v>848</v>
      </c>
      <c r="G37" s="1581" t="s">
        <v>817</v>
      </c>
      <c r="H37" s="482"/>
      <c r="I37" s="482"/>
      <c r="J37" s="227" t="s">
        <v>818</v>
      </c>
      <c r="K37" s="480"/>
      <c r="L37" s="1563"/>
      <c r="M37" s="1563"/>
      <c r="R37" s="1563"/>
      <c r="U37" s="481"/>
      <c r="AA37" s="1559"/>
      <c r="AB37" s="1559"/>
      <c r="AC37" s="1559"/>
      <c r="AD37" s="1559"/>
      <c r="AE37" s="1559"/>
      <c r="AF37" s="1087">
        <v>23</v>
      </c>
    </row>
    <row r="38" spans="1:32" ht="11.25" customHeight="1">
      <c r="D38" s="1565"/>
      <c r="AF38" s="1558">
        <v>11</v>
      </c>
    </row>
    <row r="39" spans="1:32" ht="27" customHeight="1">
      <c r="D39" s="1565"/>
      <c r="E39" s="1180" t="s">
        <v>849</v>
      </c>
      <c r="F39" s="2895" t="s">
        <v>850</v>
      </c>
      <c r="G39" s="2895"/>
      <c r="H39" s="306"/>
      <c r="I39" s="306"/>
      <c r="J39" s="306"/>
      <c r="AF39" s="1558">
        <v>26</v>
      </c>
    </row>
    <row r="40" spans="1:32" s="1568" customFormat="1" ht="39.75" customHeight="1">
      <c r="A40" s="917"/>
      <c r="B40" s="1563"/>
      <c r="C40" s="1563"/>
      <c r="D40" s="288"/>
      <c r="F40" s="2895" t="s">
        <v>851</v>
      </c>
      <c r="G40" s="2895"/>
      <c r="H40" s="306"/>
      <c r="I40" s="306"/>
      <c r="J40" s="306"/>
      <c r="K40" s="1087"/>
      <c r="L40" s="1563"/>
      <c r="M40" s="1563"/>
      <c r="N40" s="1087"/>
      <c r="O40" s="1087"/>
      <c r="P40" s="1087"/>
      <c r="Q40" s="1087"/>
      <c r="R40" s="1563"/>
      <c r="S40" s="1087"/>
      <c r="T40" s="1087"/>
      <c r="U40" s="481"/>
      <c r="V40" s="1087"/>
      <c r="W40" s="1087"/>
      <c r="X40" s="1087"/>
      <c r="Y40" s="1087"/>
      <c r="Z40" s="1087"/>
      <c r="AA40" s="1559"/>
      <c r="AB40" s="503"/>
      <c r="AC40" s="503"/>
      <c r="AD40" s="503"/>
      <c r="AE40" s="503"/>
      <c r="AF40" s="1568">
        <v>38</v>
      </c>
    </row>
    <row r="41" spans="1:32" s="1568" customFormat="1" ht="11.25" customHeight="1">
      <c r="A41" s="917"/>
      <c r="B41" s="1563"/>
      <c r="C41" s="1563"/>
      <c r="D41" s="288"/>
      <c r="K41" s="1087"/>
      <c r="L41" s="1563"/>
      <c r="M41" s="1563"/>
      <c r="N41" s="1087"/>
      <c r="O41" s="1087"/>
      <c r="P41" s="1087"/>
      <c r="Q41" s="1087"/>
      <c r="R41" s="1563"/>
      <c r="S41" s="1087"/>
      <c r="T41" s="1087"/>
      <c r="U41" s="481"/>
      <c r="V41" s="1087"/>
      <c r="W41" s="1087"/>
      <c r="X41" s="1087"/>
      <c r="Y41" s="1087"/>
      <c r="Z41" s="1087"/>
      <c r="AA41" s="1559"/>
      <c r="AB41" s="503"/>
      <c r="AC41" s="503"/>
      <c r="AD41" s="503"/>
      <c r="AE41" s="503"/>
      <c r="AF41" s="1568">
        <v>11</v>
      </c>
    </row>
    <row r="42" spans="1:32" s="1568" customFormat="1" ht="11.25" customHeight="1">
      <c r="A42" s="917"/>
      <c r="B42" s="1563"/>
      <c r="C42" s="1563"/>
      <c r="D42" s="288"/>
      <c r="K42" s="1087"/>
      <c r="L42" s="1563"/>
      <c r="M42" s="1563"/>
      <c r="N42" s="1087"/>
      <c r="O42" s="1087"/>
      <c r="P42" s="1087"/>
      <c r="Q42" s="1087"/>
      <c r="R42" s="1563"/>
      <c r="S42" s="1087"/>
      <c r="T42" s="1087"/>
      <c r="U42" s="481"/>
      <c r="V42" s="1087"/>
      <c r="W42" s="1087"/>
      <c r="X42" s="1087"/>
      <c r="Y42" s="1087"/>
      <c r="Z42" s="1087"/>
      <c r="AA42" s="1559"/>
      <c r="AB42" s="503"/>
      <c r="AC42" s="503"/>
      <c r="AD42" s="503"/>
      <c r="AE42" s="503"/>
      <c r="AF42" s="1568">
        <v>11</v>
      </c>
    </row>
    <row r="43" spans="1:32" s="1568" customFormat="1" ht="11.25" customHeight="1">
      <c r="A43" s="917"/>
      <c r="B43" s="1563"/>
      <c r="C43" s="1563"/>
      <c r="D43" s="288"/>
      <c r="H43" s="503"/>
      <c r="I43" s="503"/>
      <c r="K43" s="1087"/>
      <c r="L43" s="1563"/>
      <c r="M43" s="1563"/>
      <c r="N43" s="1087"/>
      <c r="O43" s="1087"/>
      <c r="P43" s="1087"/>
      <c r="Q43" s="1087"/>
      <c r="R43" s="1563"/>
      <c r="S43" s="1087"/>
      <c r="T43" s="1087"/>
      <c r="U43" s="481"/>
      <c r="V43" s="1087"/>
      <c r="W43" s="1087"/>
      <c r="X43" s="1087"/>
      <c r="Y43" s="1087"/>
      <c r="Z43" s="1087"/>
      <c r="AA43" s="1559"/>
      <c r="AB43" s="503"/>
      <c r="AC43" s="503"/>
      <c r="AD43" s="503"/>
      <c r="AE43" s="503"/>
      <c r="AF43" s="1568">
        <v>11</v>
      </c>
    </row>
    <row r="44" spans="1:32" s="1568" customFormat="1" ht="11.25" customHeight="1">
      <c r="A44" s="917"/>
      <c r="B44" s="1563"/>
      <c r="C44" s="1563"/>
      <c r="D44" s="288"/>
      <c r="K44" s="1087"/>
      <c r="L44" s="1563"/>
      <c r="M44" s="1563"/>
      <c r="N44" s="1087"/>
      <c r="O44" s="1087"/>
      <c r="P44" s="1087"/>
      <c r="Q44" s="1087"/>
      <c r="R44" s="1563"/>
      <c r="S44" s="1087"/>
      <c r="T44" s="1087"/>
      <c r="U44" s="481"/>
      <c r="V44" s="1087"/>
      <c r="W44" s="1087"/>
      <c r="X44" s="1087"/>
      <c r="Y44" s="1087"/>
      <c r="Z44" s="1087"/>
      <c r="AA44" s="1559"/>
      <c r="AB44" s="503"/>
      <c r="AC44" s="503"/>
      <c r="AD44" s="503"/>
      <c r="AE44" s="503"/>
      <c r="AF44" s="1568">
        <v>11</v>
      </c>
    </row>
    <row r="45" spans="1:32" s="1568" customFormat="1" ht="11.25" customHeight="1">
      <c r="A45" s="917"/>
      <c r="B45" s="1563"/>
      <c r="C45" s="1563"/>
      <c r="D45" s="288"/>
      <c r="K45" s="1087"/>
      <c r="L45" s="1563"/>
      <c r="M45" s="1563"/>
      <c r="N45" s="1087"/>
      <c r="O45" s="1087"/>
      <c r="P45" s="1087"/>
      <c r="Q45" s="1087"/>
      <c r="R45" s="1563"/>
      <c r="S45" s="1087"/>
      <c r="T45" s="1087"/>
      <c r="U45" s="481"/>
      <c r="V45" s="1087"/>
      <c r="W45" s="1087"/>
      <c r="X45" s="1087"/>
      <c r="Y45" s="1087"/>
      <c r="Z45" s="1087"/>
      <c r="AA45" s="1559"/>
      <c r="AB45" s="503"/>
      <c r="AC45" s="503"/>
      <c r="AD45" s="503"/>
      <c r="AE45" s="503"/>
      <c r="AF45" s="1568">
        <v>11</v>
      </c>
    </row>
    <row r="46" spans="1:32" s="1568" customFormat="1" ht="11.25" customHeight="1">
      <c r="A46" s="917"/>
      <c r="B46" s="1563"/>
      <c r="C46" s="1563"/>
      <c r="D46" s="288"/>
      <c r="K46" s="1087"/>
      <c r="L46" s="1563"/>
      <c r="M46" s="1563"/>
      <c r="N46" s="1087"/>
      <c r="O46" s="1087"/>
      <c r="P46" s="1087"/>
      <c r="Q46" s="1087"/>
      <c r="R46" s="1563"/>
      <c r="S46" s="1087"/>
      <c r="T46" s="1087"/>
      <c r="U46" s="481"/>
      <c r="V46" s="1087"/>
      <c r="W46" s="1087"/>
      <c r="X46" s="1087"/>
      <c r="Y46" s="1087"/>
      <c r="Z46" s="1087"/>
      <c r="AA46" s="1559"/>
      <c r="AB46" s="503"/>
      <c r="AC46" s="503"/>
      <c r="AD46" s="503"/>
      <c r="AE46" s="503"/>
      <c r="AF46" s="1568">
        <v>11</v>
      </c>
    </row>
    <row r="47" spans="1:32" s="1568" customFormat="1" ht="11.25" customHeight="1">
      <c r="A47" s="917"/>
      <c r="B47" s="1563"/>
      <c r="C47" s="1563"/>
      <c r="D47" s="288"/>
      <c r="K47" s="1087"/>
      <c r="L47" s="1563"/>
      <c r="M47" s="1563"/>
      <c r="N47" s="1087"/>
      <c r="O47" s="1087"/>
      <c r="P47" s="1087"/>
      <c r="Q47" s="1087"/>
      <c r="R47" s="1563"/>
      <c r="S47" s="1087"/>
      <c r="T47" s="1087"/>
      <c r="U47" s="481"/>
      <c r="V47" s="1087"/>
      <c r="W47" s="1087"/>
      <c r="X47" s="1087"/>
      <c r="Y47" s="1087"/>
      <c r="Z47" s="1087"/>
      <c r="AA47" s="1559"/>
      <c r="AB47" s="503"/>
      <c r="AC47" s="503"/>
      <c r="AD47" s="503"/>
      <c r="AE47" s="503"/>
      <c r="AF47" s="1568">
        <v>11</v>
      </c>
    </row>
    <row r="48" spans="1:32" s="1568" customFormat="1" ht="11.25" customHeight="1">
      <c r="A48" s="917"/>
      <c r="B48" s="1563"/>
      <c r="C48" s="1563"/>
      <c r="D48" s="288"/>
      <c r="K48" s="1087"/>
      <c r="L48" s="1563"/>
      <c r="M48" s="1563"/>
      <c r="N48" s="1087"/>
      <c r="O48" s="1087"/>
      <c r="P48" s="1087"/>
      <c r="Q48" s="1087"/>
      <c r="R48" s="1563"/>
      <c r="S48" s="1087"/>
      <c r="T48" s="1087"/>
      <c r="U48" s="481"/>
      <c r="V48" s="1087"/>
      <c r="W48" s="1087"/>
      <c r="X48" s="1087"/>
      <c r="Y48" s="1087"/>
      <c r="Z48" s="1087"/>
      <c r="AA48" s="1559"/>
      <c r="AB48" s="503"/>
      <c r="AC48" s="503"/>
      <c r="AD48" s="503"/>
      <c r="AE48" s="503"/>
      <c r="AF48" s="1568">
        <v>11</v>
      </c>
    </row>
    <row r="49" spans="1:32" s="1568" customFormat="1" ht="11.25" customHeight="1">
      <c r="A49" s="917"/>
      <c r="B49" s="1563"/>
      <c r="C49" s="1563"/>
      <c r="D49" s="288"/>
      <c r="K49" s="1087"/>
      <c r="L49" s="1563"/>
      <c r="M49" s="1563"/>
      <c r="N49" s="1087"/>
      <c r="O49" s="1087"/>
      <c r="P49" s="1087"/>
      <c r="Q49" s="1087"/>
      <c r="R49" s="1563"/>
      <c r="S49" s="1087"/>
      <c r="T49" s="1087"/>
      <c r="U49" s="481"/>
      <c r="V49" s="1087"/>
      <c r="W49" s="1087"/>
      <c r="X49" s="1087"/>
      <c r="Y49" s="1087"/>
      <c r="Z49" s="1087"/>
      <c r="AA49" s="1559"/>
      <c r="AB49" s="503"/>
      <c r="AC49" s="503"/>
      <c r="AD49" s="503"/>
      <c r="AE49" s="503"/>
      <c r="AF49" s="1568">
        <v>11</v>
      </c>
    </row>
    <row r="50" spans="1:32" s="1568" customFormat="1" ht="11.25" customHeight="1">
      <c r="A50" s="917"/>
      <c r="B50" s="1563"/>
      <c r="C50" s="1563"/>
      <c r="D50" s="288"/>
      <c r="K50" s="1087"/>
      <c r="L50" s="1563"/>
      <c r="M50" s="1563"/>
      <c r="N50" s="1087"/>
      <c r="O50" s="1087"/>
      <c r="P50" s="1087"/>
      <c r="Q50" s="1087"/>
      <c r="R50" s="1563"/>
      <c r="S50" s="1087"/>
      <c r="T50" s="1087"/>
      <c r="U50" s="481"/>
      <c r="V50" s="1087"/>
      <c r="W50" s="1087"/>
      <c r="X50" s="1087"/>
      <c r="Y50" s="1087"/>
      <c r="Z50" s="1087"/>
      <c r="AA50" s="1559"/>
      <c r="AB50" s="503"/>
      <c r="AC50" s="503"/>
      <c r="AD50" s="503"/>
      <c r="AE50" s="503"/>
      <c r="AF50" s="1568">
        <v>11</v>
      </c>
    </row>
    <row r="51" spans="1:32" s="1568" customFormat="1" ht="11.25" customHeight="1">
      <c r="A51" s="917"/>
      <c r="B51" s="1563"/>
      <c r="C51" s="1563"/>
      <c r="D51" s="288"/>
      <c r="K51" s="1087"/>
      <c r="L51" s="1563"/>
      <c r="M51" s="1563"/>
      <c r="N51" s="1087"/>
      <c r="O51" s="1087"/>
      <c r="P51" s="1087"/>
      <c r="Q51" s="1087"/>
      <c r="R51" s="1563"/>
      <c r="S51" s="1087"/>
      <c r="T51" s="1087"/>
      <c r="U51" s="481"/>
      <c r="V51" s="1087"/>
      <c r="W51" s="1087"/>
      <c r="X51" s="1087"/>
      <c r="Y51" s="1087"/>
      <c r="Z51" s="1087"/>
      <c r="AA51" s="1559"/>
      <c r="AB51" s="503"/>
      <c r="AC51" s="503"/>
      <c r="AD51" s="503"/>
      <c r="AE51" s="503"/>
      <c r="AF51" s="1568">
        <v>11</v>
      </c>
    </row>
    <row r="52" spans="1:32" s="1568" customFormat="1" ht="11.25" customHeight="1">
      <c r="A52" s="917"/>
      <c r="B52" s="1563"/>
      <c r="C52" s="1563"/>
      <c r="D52" s="288"/>
      <c r="K52" s="1087"/>
      <c r="L52" s="1563"/>
      <c r="M52" s="1563"/>
      <c r="N52" s="1087"/>
      <c r="O52" s="1087"/>
      <c r="P52" s="1087"/>
      <c r="Q52" s="1087"/>
      <c r="R52" s="1563"/>
      <c r="S52" s="1087"/>
      <c r="T52" s="1087"/>
      <c r="U52" s="481"/>
      <c r="V52" s="1087"/>
      <c r="W52" s="1087"/>
      <c r="X52" s="1087"/>
      <c r="Y52" s="1087"/>
      <c r="Z52" s="1087"/>
      <c r="AA52" s="1559"/>
      <c r="AB52" s="503"/>
      <c r="AC52" s="503"/>
      <c r="AD52" s="503"/>
      <c r="AE52" s="503"/>
      <c r="AF52" s="1568">
        <v>11</v>
      </c>
    </row>
    <row r="53" spans="1:32" s="1568" customFormat="1" ht="11.25" customHeight="1">
      <c r="A53" s="917"/>
      <c r="B53" s="1563"/>
      <c r="C53" s="1563"/>
      <c r="D53" s="288"/>
      <c r="K53" s="1087"/>
      <c r="L53" s="1563"/>
      <c r="M53" s="1563"/>
      <c r="N53" s="1087"/>
      <c r="O53" s="1087"/>
      <c r="P53" s="1087"/>
      <c r="Q53" s="1087"/>
      <c r="R53" s="1563"/>
      <c r="S53" s="1087"/>
      <c r="T53" s="1087"/>
      <c r="U53" s="481"/>
      <c r="V53" s="1087"/>
      <c r="W53" s="1087"/>
      <c r="X53" s="1087"/>
      <c r="Y53" s="1087"/>
      <c r="Z53" s="1087"/>
      <c r="AA53" s="1559"/>
      <c r="AB53" s="503"/>
      <c r="AC53" s="503"/>
      <c r="AD53" s="503"/>
      <c r="AE53" s="503"/>
      <c r="AF53" s="1568">
        <v>11</v>
      </c>
    </row>
    <row r="54" spans="1:32" s="1568" customFormat="1" ht="11.25" customHeight="1">
      <c r="A54" s="917"/>
      <c r="B54" s="1563"/>
      <c r="C54" s="1563"/>
      <c r="D54" s="288"/>
      <c r="K54" s="1087"/>
      <c r="L54" s="1563"/>
      <c r="M54" s="1563"/>
      <c r="N54" s="1087"/>
      <c r="O54" s="1087"/>
      <c r="P54" s="1087"/>
      <c r="Q54" s="1087"/>
      <c r="R54" s="1563"/>
      <c r="S54" s="1087"/>
      <c r="T54" s="1087"/>
      <c r="U54" s="481"/>
      <c r="V54" s="1087"/>
      <c r="W54" s="1087"/>
      <c r="X54" s="1087"/>
      <c r="Y54" s="1087"/>
      <c r="Z54" s="1087"/>
      <c r="AA54" s="1559"/>
      <c r="AB54" s="503"/>
      <c r="AC54" s="503"/>
      <c r="AD54" s="503"/>
      <c r="AE54" s="503"/>
      <c r="AF54" s="1568">
        <v>11</v>
      </c>
    </row>
    <row r="55" spans="1:32" s="1568" customFormat="1" ht="11.25" customHeight="1">
      <c r="A55" s="917"/>
      <c r="B55" s="1563"/>
      <c r="C55" s="1563"/>
      <c r="D55" s="288"/>
      <c r="K55" s="1087"/>
      <c r="L55" s="1563"/>
      <c r="M55" s="1563"/>
      <c r="N55" s="1087"/>
      <c r="O55" s="1087"/>
      <c r="P55" s="1087"/>
      <c r="Q55" s="1087"/>
      <c r="R55" s="1563"/>
      <c r="S55" s="1087"/>
      <c r="T55" s="1087"/>
      <c r="U55" s="481"/>
      <c r="V55" s="1087"/>
      <c r="W55" s="1087"/>
      <c r="X55" s="1087"/>
      <c r="Y55" s="1087"/>
      <c r="Z55" s="1087"/>
      <c r="AA55" s="1559"/>
      <c r="AB55" s="503"/>
      <c r="AC55" s="503"/>
      <c r="AD55" s="503"/>
      <c r="AE55" s="503"/>
      <c r="AF55" s="1568">
        <v>11</v>
      </c>
    </row>
    <row r="56" spans="1:32" s="1568" customFormat="1" ht="11.25" customHeight="1">
      <c r="A56" s="917"/>
      <c r="B56" s="1563"/>
      <c r="C56" s="1563"/>
      <c r="D56" s="288"/>
      <c r="K56" s="1087"/>
      <c r="L56" s="1563"/>
      <c r="M56" s="1563"/>
      <c r="N56" s="1087"/>
      <c r="O56" s="1087"/>
      <c r="P56" s="1087"/>
      <c r="Q56" s="1087"/>
      <c r="R56" s="1563"/>
      <c r="S56" s="1087"/>
      <c r="T56" s="1087"/>
      <c r="U56" s="481"/>
      <c r="V56" s="1087"/>
      <c r="W56" s="1087"/>
      <c r="X56" s="1087"/>
      <c r="Y56" s="1087"/>
      <c r="Z56" s="1087"/>
      <c r="AA56" s="1559"/>
      <c r="AB56" s="503"/>
      <c r="AC56" s="503"/>
      <c r="AD56" s="503"/>
      <c r="AE56" s="503"/>
      <c r="AF56" s="1568">
        <v>11</v>
      </c>
    </row>
    <row r="57" spans="1:32" s="1568" customFormat="1" ht="11.25" customHeight="1">
      <c r="A57" s="917"/>
      <c r="B57" s="1563"/>
      <c r="C57" s="1563"/>
      <c r="D57" s="288"/>
      <c r="K57" s="1087"/>
      <c r="L57" s="1563"/>
      <c r="M57" s="1563"/>
      <c r="N57" s="1087"/>
      <c r="O57" s="1087"/>
      <c r="P57" s="1087"/>
      <c r="Q57" s="1087"/>
      <c r="R57" s="1563"/>
      <c r="S57" s="1087"/>
      <c r="T57" s="1087"/>
      <c r="U57" s="481"/>
      <c r="V57" s="1087"/>
      <c r="W57" s="1087"/>
      <c r="X57" s="1087"/>
      <c r="Y57" s="1087"/>
      <c r="Z57" s="1087"/>
      <c r="AA57" s="1559"/>
      <c r="AB57" s="503"/>
      <c r="AC57" s="503"/>
      <c r="AD57" s="503"/>
      <c r="AE57" s="503"/>
      <c r="AF57" s="1568">
        <v>11</v>
      </c>
    </row>
    <row r="58" spans="1:32" s="1568" customFormat="1" ht="11.25" customHeight="1">
      <c r="A58" s="917"/>
      <c r="B58" s="1563"/>
      <c r="C58" s="1563"/>
      <c r="D58" s="288"/>
      <c r="K58" s="1087"/>
      <c r="L58" s="1563"/>
      <c r="M58" s="1563"/>
      <c r="N58" s="1087"/>
      <c r="O58" s="1087"/>
      <c r="P58" s="1087"/>
      <c r="Q58" s="1087"/>
      <c r="R58" s="1563"/>
      <c r="S58" s="1087"/>
      <c r="T58" s="1087"/>
      <c r="U58" s="481"/>
      <c r="V58" s="1087"/>
      <c r="W58" s="1087"/>
      <c r="X58" s="1087"/>
      <c r="Y58" s="1087"/>
      <c r="Z58" s="1087"/>
      <c r="AA58" s="1559"/>
      <c r="AB58" s="503"/>
      <c r="AC58" s="503"/>
      <c r="AD58" s="503"/>
      <c r="AE58" s="503"/>
      <c r="AF58" s="1568">
        <v>11</v>
      </c>
    </row>
    <row r="59" spans="1:32" s="1568" customFormat="1" ht="11.25" customHeight="1">
      <c r="A59" s="917"/>
      <c r="B59" s="1563"/>
      <c r="C59" s="1563"/>
      <c r="D59" s="288"/>
      <c r="K59" s="1087"/>
      <c r="L59" s="1563"/>
      <c r="M59" s="1563"/>
      <c r="N59" s="1087"/>
      <c r="O59" s="1087"/>
      <c r="P59" s="1087"/>
      <c r="Q59" s="1087"/>
      <c r="R59" s="1563"/>
      <c r="S59" s="1087"/>
      <c r="T59" s="1087"/>
      <c r="U59" s="481"/>
      <c r="V59" s="1087"/>
      <c r="W59" s="1087"/>
      <c r="X59" s="1087"/>
      <c r="Y59" s="1087"/>
      <c r="Z59" s="1087"/>
      <c r="AA59" s="1559"/>
      <c r="AB59" s="503"/>
      <c r="AC59" s="503"/>
      <c r="AD59" s="503"/>
      <c r="AE59" s="503"/>
      <c r="AF59" s="1568">
        <v>11</v>
      </c>
    </row>
    <row r="60" spans="1:32" s="1568" customFormat="1" ht="11.25" customHeight="1">
      <c r="A60" s="917"/>
      <c r="B60" s="1563"/>
      <c r="C60" s="1563"/>
      <c r="D60" s="288"/>
      <c r="K60" s="1087"/>
      <c r="L60" s="1563"/>
      <c r="M60" s="1563"/>
      <c r="N60" s="1087"/>
      <c r="O60" s="1087"/>
      <c r="P60" s="1087"/>
      <c r="Q60" s="1087"/>
      <c r="R60" s="1563"/>
      <c r="S60" s="1087"/>
      <c r="T60" s="1087"/>
      <c r="U60" s="481"/>
      <c r="V60" s="1087"/>
      <c r="W60" s="1087"/>
      <c r="X60" s="1087"/>
      <c r="Y60" s="1087"/>
      <c r="Z60" s="1087"/>
      <c r="AA60" s="1559"/>
      <c r="AB60" s="503"/>
      <c r="AC60" s="503"/>
      <c r="AD60" s="503"/>
      <c r="AE60" s="503"/>
      <c r="AF60" s="1568">
        <v>11</v>
      </c>
    </row>
    <row r="61" spans="1:32" s="1568" customFormat="1" ht="11.25" customHeight="1">
      <c r="A61" s="917"/>
      <c r="B61" s="1563"/>
      <c r="C61" s="1563"/>
      <c r="D61" s="288"/>
      <c r="K61" s="1087"/>
      <c r="L61" s="1563"/>
      <c r="M61" s="1563"/>
      <c r="N61" s="1087"/>
      <c r="O61" s="1087"/>
      <c r="P61" s="1087"/>
      <c r="Q61" s="1087"/>
      <c r="R61" s="1563"/>
      <c r="S61" s="1087"/>
      <c r="T61" s="1087"/>
      <c r="U61" s="481"/>
      <c r="V61" s="1087"/>
      <c r="W61" s="1087"/>
      <c r="X61" s="1087"/>
      <c r="Y61" s="1087"/>
      <c r="Z61" s="1087"/>
      <c r="AA61" s="1559"/>
      <c r="AB61" s="503"/>
      <c r="AC61" s="503"/>
      <c r="AD61" s="503"/>
      <c r="AE61" s="503"/>
      <c r="AF61" s="1568">
        <v>11</v>
      </c>
    </row>
    <row r="62" spans="1:32" s="1568" customFormat="1" ht="11.25" customHeight="1">
      <c r="A62" s="917"/>
      <c r="B62" s="1563"/>
      <c r="C62" s="1563"/>
      <c r="D62" s="288"/>
      <c r="K62" s="1087"/>
      <c r="L62" s="1563"/>
      <c r="M62" s="1563"/>
      <c r="N62" s="1087"/>
      <c r="O62" s="1087"/>
      <c r="P62" s="1087"/>
      <c r="Q62" s="1087"/>
      <c r="R62" s="1563"/>
      <c r="S62" s="1087"/>
      <c r="T62" s="1087"/>
      <c r="U62" s="481"/>
      <c r="V62" s="1087"/>
      <c r="W62" s="1087"/>
      <c r="X62" s="1087"/>
      <c r="Y62" s="1087"/>
      <c r="Z62" s="1087"/>
      <c r="AA62" s="1559"/>
      <c r="AB62" s="503"/>
      <c r="AC62" s="503"/>
      <c r="AD62" s="503"/>
      <c r="AE62" s="503"/>
      <c r="AF62" s="1568">
        <v>11</v>
      </c>
    </row>
    <row r="63" spans="1:32" s="1568" customFormat="1" ht="11.25" customHeight="1">
      <c r="A63" s="917"/>
      <c r="B63" s="1563"/>
      <c r="C63" s="1563"/>
      <c r="D63" s="288"/>
      <c r="K63" s="1087"/>
      <c r="L63" s="1563"/>
      <c r="M63" s="1563"/>
      <c r="N63" s="1087"/>
      <c r="O63" s="1087"/>
      <c r="P63" s="1087"/>
      <c r="Q63" s="1087"/>
      <c r="R63" s="1563"/>
      <c r="S63" s="1087"/>
      <c r="T63" s="1087"/>
      <c r="U63" s="481"/>
      <c r="V63" s="1087"/>
      <c r="W63" s="1087"/>
      <c r="X63" s="1087"/>
      <c r="Y63" s="1087"/>
      <c r="Z63" s="1087"/>
      <c r="AA63" s="1559"/>
      <c r="AB63" s="503"/>
      <c r="AC63" s="503"/>
      <c r="AD63" s="503"/>
      <c r="AE63" s="503"/>
      <c r="AF63" s="1568">
        <v>11</v>
      </c>
    </row>
    <row r="64" spans="1:32" s="1568" customFormat="1" ht="11.25" customHeight="1">
      <c r="A64" s="917"/>
      <c r="B64" s="1563"/>
      <c r="C64" s="1563"/>
      <c r="D64" s="288"/>
      <c r="K64" s="1087"/>
      <c r="L64" s="1563"/>
      <c r="M64" s="1563"/>
      <c r="N64" s="1087"/>
      <c r="O64" s="1087"/>
      <c r="P64" s="1087"/>
      <c r="Q64" s="1087"/>
      <c r="R64" s="1563"/>
      <c r="S64" s="1087"/>
      <c r="T64" s="1087"/>
      <c r="U64" s="481"/>
      <c r="V64" s="1087"/>
      <c r="W64" s="1087"/>
      <c r="X64" s="1087"/>
      <c r="Y64" s="1087"/>
      <c r="Z64" s="1087"/>
      <c r="AA64" s="1559"/>
      <c r="AB64" s="503"/>
      <c r="AC64" s="503"/>
      <c r="AD64" s="503"/>
      <c r="AE64" s="503"/>
      <c r="AF64" s="1568">
        <v>11</v>
      </c>
    </row>
    <row r="65" spans="1:32" s="1568" customFormat="1" ht="11.25" customHeight="1">
      <c r="A65" s="917"/>
      <c r="B65" s="1563"/>
      <c r="C65" s="1563"/>
      <c r="D65" s="288"/>
      <c r="K65" s="1087"/>
      <c r="L65" s="1563"/>
      <c r="M65" s="1563"/>
      <c r="N65" s="1087"/>
      <c r="O65" s="1087"/>
      <c r="P65" s="1087"/>
      <c r="Q65" s="1087"/>
      <c r="R65" s="1563"/>
      <c r="S65" s="1087"/>
      <c r="T65" s="1087"/>
      <c r="U65" s="481"/>
      <c r="V65" s="1087"/>
      <c r="W65" s="1087"/>
      <c r="X65" s="1087"/>
      <c r="Y65" s="1087"/>
      <c r="Z65" s="1087"/>
      <c r="AA65" s="1559"/>
      <c r="AB65" s="503"/>
      <c r="AC65" s="503"/>
      <c r="AD65" s="503"/>
      <c r="AE65" s="503"/>
      <c r="AF65" s="1568">
        <v>11</v>
      </c>
    </row>
    <row r="66" spans="1:32" s="1568" customFormat="1" ht="11.25" customHeight="1">
      <c r="A66" s="917"/>
      <c r="B66" s="1563"/>
      <c r="C66" s="1563"/>
      <c r="D66" s="288"/>
      <c r="K66" s="1087"/>
      <c r="L66" s="1563"/>
      <c r="M66" s="1563"/>
      <c r="N66" s="1087"/>
      <c r="O66" s="1087"/>
      <c r="P66" s="1087"/>
      <c r="Q66" s="1087"/>
      <c r="R66" s="1563"/>
      <c r="S66" s="1087"/>
      <c r="T66" s="1087"/>
      <c r="U66" s="481"/>
      <c r="V66" s="1087"/>
      <c r="W66" s="1087"/>
      <c r="X66" s="1087"/>
      <c r="Y66" s="1087"/>
      <c r="Z66" s="1087"/>
      <c r="AA66" s="1559"/>
      <c r="AB66" s="503"/>
      <c r="AC66" s="503"/>
      <c r="AD66" s="503"/>
      <c r="AE66" s="503"/>
      <c r="AF66" s="1568">
        <v>11</v>
      </c>
    </row>
    <row r="67" spans="1:32" s="1568" customFormat="1" ht="11.25" customHeight="1">
      <c r="A67" s="917"/>
      <c r="B67" s="1563"/>
      <c r="C67" s="1563"/>
      <c r="D67" s="288"/>
      <c r="K67" s="1087"/>
      <c r="L67" s="1563"/>
      <c r="M67" s="1563"/>
      <c r="N67" s="1087"/>
      <c r="O67" s="1087"/>
      <c r="P67" s="1087"/>
      <c r="Q67" s="1087"/>
      <c r="R67" s="1563"/>
      <c r="S67" s="1087"/>
      <c r="T67" s="1087"/>
      <c r="U67" s="481"/>
      <c r="V67" s="1087"/>
      <c r="W67" s="1087"/>
      <c r="X67" s="1087"/>
      <c r="Y67" s="1087"/>
      <c r="Z67" s="1087"/>
      <c r="AA67" s="1559"/>
      <c r="AB67" s="503"/>
      <c r="AC67" s="503"/>
      <c r="AD67" s="503"/>
      <c r="AE67" s="503"/>
      <c r="AF67" s="1568">
        <v>11</v>
      </c>
    </row>
    <row r="68" spans="1:32" s="1568" customFormat="1" ht="11.25" customHeight="1">
      <c r="A68" s="917"/>
      <c r="B68" s="1563"/>
      <c r="C68" s="1563"/>
      <c r="D68" s="288"/>
      <c r="K68" s="1087"/>
      <c r="L68" s="1563"/>
      <c r="M68" s="1563"/>
      <c r="N68" s="1087"/>
      <c r="O68" s="1087"/>
      <c r="P68" s="1087"/>
      <c r="Q68" s="1087"/>
      <c r="R68" s="1563"/>
      <c r="S68" s="1087"/>
      <c r="T68" s="1087"/>
      <c r="U68" s="481"/>
      <c r="V68" s="1087"/>
      <c r="W68" s="1087"/>
      <c r="X68" s="1087"/>
      <c r="Y68" s="1087"/>
      <c r="Z68" s="1087"/>
      <c r="AA68" s="1559"/>
      <c r="AB68" s="503"/>
      <c r="AC68" s="503"/>
      <c r="AD68" s="503"/>
      <c r="AE68" s="503"/>
      <c r="AF68" s="1568">
        <v>11</v>
      </c>
    </row>
    <row r="69" spans="1:32" s="1568" customFormat="1" ht="11.25" customHeight="1">
      <c r="A69" s="917"/>
      <c r="B69" s="1563"/>
      <c r="C69" s="1563"/>
      <c r="D69" s="288"/>
      <c r="K69" s="1087"/>
      <c r="L69" s="1563"/>
      <c r="M69" s="1563"/>
      <c r="N69" s="1087"/>
      <c r="O69" s="1087"/>
      <c r="P69" s="1087"/>
      <c r="Q69" s="1087"/>
      <c r="R69" s="1563"/>
      <c r="S69" s="1087"/>
      <c r="T69" s="1087"/>
      <c r="U69" s="481"/>
      <c r="V69" s="1087"/>
      <c r="W69" s="1087"/>
      <c r="X69" s="1087"/>
      <c r="Y69" s="1087"/>
      <c r="Z69" s="1087"/>
      <c r="AA69" s="1559"/>
      <c r="AB69" s="503"/>
      <c r="AC69" s="503"/>
      <c r="AD69" s="503"/>
      <c r="AE69" s="503"/>
      <c r="AF69" s="1568">
        <v>11</v>
      </c>
    </row>
    <row r="70" spans="1:32" s="1568" customFormat="1" ht="11.25" customHeight="1">
      <c r="A70" s="917"/>
      <c r="B70" s="1563"/>
      <c r="C70" s="1563"/>
      <c r="D70" s="288"/>
      <c r="K70" s="1087"/>
      <c r="L70" s="1563"/>
      <c r="M70" s="1563"/>
      <c r="N70" s="1087"/>
      <c r="O70" s="1087"/>
      <c r="P70" s="1087"/>
      <c r="Q70" s="1087"/>
      <c r="R70" s="1563"/>
      <c r="S70" s="1087"/>
      <c r="T70" s="1087"/>
      <c r="U70" s="481"/>
      <c r="V70" s="1087"/>
      <c r="W70" s="1087"/>
      <c r="X70" s="1087"/>
      <c r="Y70" s="1087"/>
      <c r="Z70" s="1087"/>
      <c r="AA70" s="1559"/>
      <c r="AB70" s="503"/>
      <c r="AC70" s="503"/>
      <c r="AD70" s="503"/>
      <c r="AE70" s="503"/>
      <c r="AF70" s="1568">
        <v>11</v>
      </c>
    </row>
    <row r="71" spans="1:32" s="1568" customFormat="1" ht="11.25" customHeight="1">
      <c r="A71" s="917"/>
      <c r="B71" s="1563"/>
      <c r="C71" s="1563"/>
      <c r="D71" s="288"/>
      <c r="K71" s="1087"/>
      <c r="L71" s="1563"/>
      <c r="M71" s="1563"/>
      <c r="N71" s="1087"/>
      <c r="O71" s="1087"/>
      <c r="P71" s="1087"/>
      <c r="Q71" s="1087"/>
      <c r="R71" s="1563"/>
      <c r="S71" s="1087"/>
      <c r="T71" s="1087"/>
      <c r="U71" s="481"/>
      <c r="V71" s="1087"/>
      <c r="W71" s="1087"/>
      <c r="X71" s="1087"/>
      <c r="Y71" s="1087"/>
      <c r="Z71" s="1087"/>
      <c r="AA71" s="1559"/>
      <c r="AB71" s="503"/>
      <c r="AC71" s="503"/>
      <c r="AD71" s="503"/>
      <c r="AE71" s="503"/>
      <c r="AF71" s="1568">
        <v>11</v>
      </c>
    </row>
    <row r="72" spans="1:32" s="1568" customFormat="1" ht="11.25" customHeight="1">
      <c r="A72" s="917"/>
      <c r="B72" s="1563"/>
      <c r="C72" s="1563"/>
      <c r="D72" s="288"/>
      <c r="K72" s="1087"/>
      <c r="L72" s="1563"/>
      <c r="M72" s="1563"/>
      <c r="N72" s="1087"/>
      <c r="O72" s="1087"/>
      <c r="P72" s="1087"/>
      <c r="Q72" s="1087"/>
      <c r="R72" s="1563"/>
      <c r="S72" s="1087"/>
      <c r="T72" s="1087"/>
      <c r="U72" s="481"/>
      <c r="V72" s="1087"/>
      <c r="W72" s="1087"/>
      <c r="X72" s="1087"/>
      <c r="Y72" s="1087"/>
      <c r="Z72" s="1087"/>
      <c r="AA72" s="1559"/>
      <c r="AB72" s="503"/>
      <c r="AC72" s="503"/>
      <c r="AD72" s="503"/>
      <c r="AE72" s="503"/>
      <c r="AF72" s="1568">
        <v>11</v>
      </c>
    </row>
    <row r="73" spans="1:32" s="1568" customFormat="1" ht="11.25" customHeight="1">
      <c r="A73" s="917"/>
      <c r="B73" s="1563"/>
      <c r="C73" s="1563"/>
      <c r="D73" s="288"/>
      <c r="K73" s="1087"/>
      <c r="L73" s="1563"/>
      <c r="M73" s="1563"/>
      <c r="N73" s="1087"/>
      <c r="O73" s="1087"/>
      <c r="P73" s="1087"/>
      <c r="Q73" s="1087"/>
      <c r="R73" s="1563"/>
      <c r="S73" s="1087"/>
      <c r="T73" s="1087"/>
      <c r="U73" s="481"/>
      <c r="V73" s="1087"/>
      <c r="W73" s="1087"/>
      <c r="X73" s="1087"/>
      <c r="Y73" s="1087"/>
      <c r="Z73" s="1087"/>
      <c r="AA73" s="1559"/>
      <c r="AB73" s="503"/>
      <c r="AC73" s="503"/>
      <c r="AD73" s="503"/>
      <c r="AE73" s="503"/>
      <c r="AF73" s="1568">
        <v>11</v>
      </c>
    </row>
    <row r="74" spans="1:32" s="1568" customFormat="1" ht="11.25" customHeight="1">
      <c r="A74" s="917"/>
      <c r="B74" s="1563"/>
      <c r="C74" s="1563"/>
      <c r="D74" s="288"/>
      <c r="K74" s="1087"/>
      <c r="L74" s="1563"/>
      <c r="M74" s="1563"/>
      <c r="N74" s="1087"/>
      <c r="O74" s="1087"/>
      <c r="P74" s="1087"/>
      <c r="Q74" s="1087"/>
      <c r="R74" s="1563"/>
      <c r="S74" s="1087"/>
      <c r="T74" s="1087"/>
      <c r="U74" s="481"/>
      <c r="V74" s="1087"/>
      <c r="W74" s="1087"/>
      <c r="X74" s="1087"/>
      <c r="Y74" s="1087"/>
      <c r="Z74" s="1087"/>
      <c r="AA74" s="1559"/>
      <c r="AB74" s="503"/>
      <c r="AC74" s="503"/>
      <c r="AD74" s="503"/>
      <c r="AE74" s="503"/>
      <c r="AF74" s="1568">
        <v>11</v>
      </c>
    </row>
    <row r="75" spans="1:32" s="1568" customFormat="1" ht="11.25" customHeight="1">
      <c r="A75" s="917"/>
      <c r="B75" s="1563"/>
      <c r="C75" s="1563"/>
      <c r="D75" s="288"/>
      <c r="K75" s="1087"/>
      <c r="L75" s="1563"/>
      <c r="M75" s="1563"/>
      <c r="N75" s="1087"/>
      <c r="O75" s="1087"/>
      <c r="P75" s="1087"/>
      <c r="Q75" s="1087"/>
      <c r="R75" s="1563"/>
      <c r="S75" s="1087"/>
      <c r="T75" s="1087"/>
      <c r="U75" s="481"/>
      <c r="V75" s="1087"/>
      <c r="W75" s="1087"/>
      <c r="X75" s="1087"/>
      <c r="Y75" s="1087"/>
      <c r="Z75" s="1087"/>
      <c r="AA75" s="1559"/>
      <c r="AB75" s="503"/>
      <c r="AC75" s="503"/>
      <c r="AD75" s="503"/>
      <c r="AE75" s="503"/>
      <c r="AF75" s="1568">
        <v>11</v>
      </c>
    </row>
    <row r="76" spans="1:32" s="1568" customFormat="1" ht="11.25" customHeight="1">
      <c r="A76" s="917"/>
      <c r="B76" s="1563"/>
      <c r="C76" s="1563"/>
      <c r="D76" s="288"/>
      <c r="K76" s="1087"/>
      <c r="L76" s="1563"/>
      <c r="M76" s="1563"/>
      <c r="N76" s="1087"/>
      <c r="O76" s="1087"/>
      <c r="P76" s="1087"/>
      <c r="Q76" s="1087"/>
      <c r="R76" s="1563"/>
      <c r="S76" s="1087"/>
      <c r="T76" s="1087"/>
      <c r="U76" s="481"/>
      <c r="V76" s="1087"/>
      <c r="W76" s="1087"/>
      <c r="X76" s="1087"/>
      <c r="Y76" s="1087"/>
      <c r="Z76" s="1087"/>
      <c r="AA76" s="1559"/>
      <c r="AB76" s="503"/>
      <c r="AC76" s="503"/>
      <c r="AD76" s="503"/>
      <c r="AE76" s="503"/>
      <c r="AF76" s="1568">
        <v>11</v>
      </c>
    </row>
    <row r="77" spans="1:32" s="1568" customFormat="1" ht="11.25" customHeight="1">
      <c r="A77" s="917"/>
      <c r="B77" s="1563"/>
      <c r="C77" s="1563"/>
      <c r="D77" s="288"/>
      <c r="K77" s="1087"/>
      <c r="L77" s="1563"/>
      <c r="M77" s="1563"/>
      <c r="N77" s="1087"/>
      <c r="O77" s="1087"/>
      <c r="P77" s="1087"/>
      <c r="Q77" s="1087"/>
      <c r="R77" s="1563"/>
      <c r="S77" s="1087"/>
      <c r="T77" s="1087"/>
      <c r="U77" s="481"/>
      <c r="V77" s="1087"/>
      <c r="W77" s="1087"/>
      <c r="X77" s="1087"/>
      <c r="Y77" s="1087"/>
      <c r="Z77" s="1087"/>
      <c r="AA77" s="1559"/>
      <c r="AB77" s="503"/>
      <c r="AC77" s="503"/>
      <c r="AD77" s="503"/>
      <c r="AE77" s="503"/>
      <c r="AF77" s="1568">
        <v>11</v>
      </c>
    </row>
    <row r="78" spans="1:32" s="1568" customFormat="1" ht="11.25" customHeight="1">
      <c r="A78" s="917"/>
      <c r="B78" s="1563"/>
      <c r="C78" s="1563"/>
      <c r="D78" s="288"/>
      <c r="K78" s="1087"/>
      <c r="L78" s="1563"/>
      <c r="M78" s="1563"/>
      <c r="N78" s="1087"/>
      <c r="O78" s="1087"/>
      <c r="P78" s="1087"/>
      <c r="Q78" s="1087"/>
      <c r="R78" s="1563"/>
      <c r="S78" s="1087"/>
      <c r="T78" s="1087"/>
      <c r="U78" s="481"/>
      <c r="V78" s="1087"/>
      <c r="W78" s="1087"/>
      <c r="X78" s="1087"/>
      <c r="Y78" s="1087"/>
      <c r="Z78" s="1087"/>
      <c r="AA78" s="1559"/>
      <c r="AB78" s="503"/>
      <c r="AC78" s="503"/>
      <c r="AD78" s="503"/>
      <c r="AE78" s="503"/>
      <c r="AF78" s="1568">
        <v>11</v>
      </c>
    </row>
    <row r="79" spans="1:32" s="1568" customFormat="1" ht="11.25" customHeight="1">
      <c r="A79" s="917"/>
      <c r="B79" s="1563"/>
      <c r="C79" s="1563"/>
      <c r="D79" s="288"/>
      <c r="K79" s="1087"/>
      <c r="L79" s="1563"/>
      <c r="M79" s="1563"/>
      <c r="N79" s="1087"/>
      <c r="O79" s="1087"/>
      <c r="P79" s="1087"/>
      <c r="Q79" s="1087"/>
      <c r="R79" s="1563"/>
      <c r="S79" s="1087"/>
      <c r="T79" s="1087"/>
      <c r="U79" s="481"/>
      <c r="V79" s="1087"/>
      <c r="W79" s="1087"/>
      <c r="X79" s="1087"/>
      <c r="Y79" s="1087"/>
      <c r="Z79" s="1087"/>
      <c r="AA79" s="1559"/>
      <c r="AB79" s="503"/>
      <c r="AC79" s="503"/>
      <c r="AD79" s="503"/>
      <c r="AE79" s="503"/>
      <c r="AF79" s="1568">
        <v>11</v>
      </c>
    </row>
    <row r="80" spans="1:32" s="1568" customFormat="1" ht="11.25" customHeight="1">
      <c r="A80" s="917"/>
      <c r="B80" s="1563"/>
      <c r="C80" s="1563"/>
      <c r="D80" s="288"/>
      <c r="K80" s="1087"/>
      <c r="L80" s="1563"/>
      <c r="M80" s="1563"/>
      <c r="N80" s="1087"/>
      <c r="O80" s="1087"/>
      <c r="P80" s="1087"/>
      <c r="Q80" s="1087"/>
      <c r="R80" s="1563"/>
      <c r="S80" s="1087"/>
      <c r="T80" s="1087"/>
      <c r="U80" s="481"/>
      <c r="V80" s="1087"/>
      <c r="W80" s="1087"/>
      <c r="X80" s="1087"/>
      <c r="Y80" s="1087"/>
      <c r="Z80" s="1087"/>
      <c r="AA80" s="1559"/>
      <c r="AB80" s="503"/>
      <c r="AC80" s="503"/>
      <c r="AD80" s="503"/>
      <c r="AE80" s="503"/>
      <c r="AF80" s="1568">
        <v>11</v>
      </c>
    </row>
    <row r="81" spans="1:32" s="1568" customFormat="1" ht="11.25" customHeight="1">
      <c r="A81" s="917"/>
      <c r="B81" s="1563"/>
      <c r="C81" s="1563"/>
      <c r="D81" s="288"/>
      <c r="K81" s="1087"/>
      <c r="L81" s="1563"/>
      <c r="M81" s="1563"/>
      <c r="N81" s="1087"/>
      <c r="O81" s="1087"/>
      <c r="P81" s="1087"/>
      <c r="Q81" s="1087"/>
      <c r="R81" s="1563"/>
      <c r="S81" s="1087"/>
      <c r="T81" s="1087"/>
      <c r="U81" s="481"/>
      <c r="V81" s="1087"/>
      <c r="W81" s="1087"/>
      <c r="X81" s="1087"/>
      <c r="Y81" s="1087"/>
      <c r="Z81" s="1087"/>
      <c r="AA81" s="1559"/>
      <c r="AB81" s="503"/>
      <c r="AC81" s="503"/>
      <c r="AD81" s="503"/>
      <c r="AE81" s="503"/>
      <c r="AF81" s="1568">
        <v>11</v>
      </c>
    </row>
    <row r="82" spans="1:32" s="1568" customFormat="1" ht="11.25" customHeight="1">
      <c r="A82" s="917"/>
      <c r="B82" s="1563"/>
      <c r="C82" s="1563"/>
      <c r="D82" s="288"/>
      <c r="K82" s="1087"/>
      <c r="L82" s="1563"/>
      <c r="M82" s="1563"/>
      <c r="N82" s="1087"/>
      <c r="O82" s="1087"/>
      <c r="P82" s="1087"/>
      <c r="Q82" s="1087"/>
      <c r="R82" s="1563"/>
      <c r="S82" s="1087"/>
      <c r="T82" s="1087"/>
      <c r="U82" s="481"/>
      <c r="V82" s="1087"/>
      <c r="W82" s="1087"/>
      <c r="X82" s="1087"/>
      <c r="Y82" s="1087"/>
      <c r="Z82" s="1087"/>
      <c r="AA82" s="1559"/>
      <c r="AB82" s="503"/>
      <c r="AC82" s="503"/>
      <c r="AD82" s="503"/>
      <c r="AE82" s="503"/>
      <c r="AF82" s="1568">
        <v>11</v>
      </c>
    </row>
    <row r="83" spans="1:32" s="1568" customFormat="1" ht="11.25" customHeight="1">
      <c r="A83" s="917"/>
      <c r="B83" s="1563"/>
      <c r="C83" s="1563"/>
      <c r="D83" s="288"/>
      <c r="K83" s="1087"/>
      <c r="L83" s="1563"/>
      <c r="M83" s="1563"/>
      <c r="N83" s="1087"/>
      <c r="O83" s="1087"/>
      <c r="P83" s="1087"/>
      <c r="Q83" s="1087"/>
      <c r="R83" s="1563"/>
      <c r="S83" s="1087"/>
      <c r="T83" s="1087"/>
      <c r="U83" s="481"/>
      <c r="V83" s="1087"/>
      <c r="W83" s="1087"/>
      <c r="X83" s="1087"/>
      <c r="Y83" s="1087"/>
      <c r="Z83" s="1087"/>
      <c r="AA83" s="1559"/>
      <c r="AB83" s="503"/>
      <c r="AC83" s="503"/>
      <c r="AD83" s="503"/>
      <c r="AE83" s="503"/>
      <c r="AF83" s="1568">
        <v>11</v>
      </c>
    </row>
    <row r="84" spans="1:32" s="1568" customFormat="1" ht="11.25" customHeight="1">
      <c r="A84" s="917"/>
      <c r="B84" s="1563"/>
      <c r="C84" s="1563"/>
      <c r="D84" s="288"/>
      <c r="K84" s="1087"/>
      <c r="L84" s="1563"/>
      <c r="M84" s="1563"/>
      <c r="N84" s="1087"/>
      <c r="O84" s="1087"/>
      <c r="P84" s="1087"/>
      <c r="Q84" s="1087"/>
      <c r="R84" s="1563"/>
      <c r="S84" s="1087"/>
      <c r="T84" s="1087"/>
      <c r="U84" s="481"/>
      <c r="V84" s="1087"/>
      <c r="W84" s="1087"/>
      <c r="X84" s="1087"/>
      <c r="Y84" s="1087"/>
      <c r="Z84" s="1087"/>
      <c r="AA84" s="1559"/>
      <c r="AB84" s="503"/>
      <c r="AC84" s="503"/>
      <c r="AD84" s="503"/>
      <c r="AE84" s="503"/>
      <c r="AF84" s="1568">
        <v>11</v>
      </c>
    </row>
    <row r="85" spans="1:32" s="1568" customFormat="1" ht="11.25" customHeight="1">
      <c r="A85" s="917"/>
      <c r="B85" s="1563"/>
      <c r="C85" s="1563"/>
      <c r="D85" s="288"/>
      <c r="K85" s="1087"/>
      <c r="L85" s="1563"/>
      <c r="M85" s="1563"/>
      <c r="N85" s="1087"/>
      <c r="O85" s="1087"/>
      <c r="P85" s="1087"/>
      <c r="Q85" s="1087"/>
      <c r="R85" s="1563"/>
      <c r="S85" s="1087"/>
      <c r="T85" s="1087"/>
      <c r="U85" s="481"/>
      <c r="V85" s="1087"/>
      <c r="W85" s="1087"/>
      <c r="X85" s="1087"/>
      <c r="Y85" s="1087"/>
      <c r="Z85" s="1087"/>
      <c r="AA85" s="1559"/>
      <c r="AB85" s="503"/>
      <c r="AC85" s="503"/>
      <c r="AD85" s="503"/>
      <c r="AE85" s="503"/>
      <c r="AF85" s="1568">
        <v>11</v>
      </c>
    </row>
    <row r="86" spans="1:32" s="1568" customFormat="1" ht="11.25" customHeight="1">
      <c r="A86" s="917"/>
      <c r="B86" s="1563"/>
      <c r="C86" s="1563"/>
      <c r="D86" s="288"/>
      <c r="K86" s="1087"/>
      <c r="L86" s="1563"/>
      <c r="M86" s="1563"/>
      <c r="N86" s="1087"/>
      <c r="O86" s="1087"/>
      <c r="P86" s="1087"/>
      <c r="Q86" s="1087"/>
      <c r="R86" s="1563"/>
      <c r="S86" s="1087"/>
      <c r="T86" s="1087"/>
      <c r="U86" s="481"/>
      <c r="V86" s="1087"/>
      <c r="W86" s="1087"/>
      <c r="X86" s="1087"/>
      <c r="Y86" s="1087"/>
      <c r="Z86" s="1087"/>
      <c r="AA86" s="1559"/>
      <c r="AB86" s="503"/>
      <c r="AC86" s="503"/>
      <c r="AD86" s="503"/>
      <c r="AE86" s="503"/>
      <c r="AF86" s="1568">
        <v>11</v>
      </c>
    </row>
    <row r="87" spans="1:32" s="1568" customFormat="1" ht="11.25" customHeight="1">
      <c r="A87" s="917"/>
      <c r="B87" s="1563"/>
      <c r="C87" s="1563"/>
      <c r="D87" s="288"/>
      <c r="K87" s="1087"/>
      <c r="L87" s="1563"/>
      <c r="M87" s="1563"/>
      <c r="N87" s="1087"/>
      <c r="O87" s="1087"/>
      <c r="P87" s="1087"/>
      <c r="Q87" s="1087"/>
      <c r="R87" s="1563"/>
      <c r="S87" s="1087"/>
      <c r="T87" s="1087"/>
      <c r="U87" s="481"/>
      <c r="V87" s="1087"/>
      <c r="W87" s="1087"/>
      <c r="X87" s="1087"/>
      <c r="Y87" s="1087"/>
      <c r="Z87" s="1087"/>
      <c r="AA87" s="1559"/>
      <c r="AB87" s="503"/>
      <c r="AC87" s="503"/>
      <c r="AD87" s="503"/>
      <c r="AE87" s="503"/>
      <c r="AF87" s="1568">
        <v>11</v>
      </c>
    </row>
    <row r="88" spans="1:32" s="1568" customFormat="1" ht="11.25" customHeight="1">
      <c r="A88" s="917"/>
      <c r="B88" s="1563"/>
      <c r="C88" s="1563"/>
      <c r="D88" s="288"/>
      <c r="K88" s="1087"/>
      <c r="L88" s="1563"/>
      <c r="M88" s="1563"/>
      <c r="N88" s="1087"/>
      <c r="O88" s="1087"/>
      <c r="P88" s="1087"/>
      <c r="Q88" s="1087"/>
      <c r="R88" s="1563"/>
      <c r="S88" s="1087"/>
      <c r="T88" s="1087"/>
      <c r="U88" s="481"/>
      <c r="V88" s="1087"/>
      <c r="W88" s="1087"/>
      <c r="X88" s="1087"/>
      <c r="Y88" s="1087"/>
      <c r="Z88" s="1087"/>
      <c r="AA88" s="1559"/>
      <c r="AB88" s="503"/>
      <c r="AC88" s="503"/>
      <c r="AD88" s="503"/>
      <c r="AE88" s="503"/>
      <c r="AF88" s="1568">
        <v>11</v>
      </c>
    </row>
    <row r="89" spans="1:32" s="1568" customFormat="1" ht="11.25" customHeight="1">
      <c r="A89" s="917"/>
      <c r="B89" s="1563"/>
      <c r="C89" s="1563"/>
      <c r="D89" s="288"/>
      <c r="K89" s="1087"/>
      <c r="L89" s="1563"/>
      <c r="M89" s="1563"/>
      <c r="N89" s="1087"/>
      <c r="O89" s="1087"/>
      <c r="P89" s="1087"/>
      <c r="Q89" s="1087"/>
      <c r="R89" s="1563"/>
      <c r="S89" s="1087"/>
      <c r="T89" s="1087"/>
      <c r="U89" s="481"/>
      <c r="V89" s="1087"/>
      <c r="W89" s="1087"/>
      <c r="X89" s="1087"/>
      <c r="Y89" s="1087"/>
      <c r="Z89" s="1087"/>
      <c r="AA89" s="1559"/>
      <c r="AB89" s="503"/>
      <c r="AC89" s="503"/>
      <c r="AD89" s="503"/>
      <c r="AE89" s="503"/>
      <c r="AF89" s="1568">
        <v>11</v>
      </c>
    </row>
    <row r="90" spans="1:32" s="1568" customFormat="1" ht="11.25" customHeight="1">
      <c r="A90" s="917"/>
      <c r="B90" s="1563"/>
      <c r="C90" s="1563"/>
      <c r="D90" s="288"/>
      <c r="K90" s="1087"/>
      <c r="L90" s="1563"/>
      <c r="M90" s="1563"/>
      <c r="N90" s="1087"/>
      <c r="O90" s="1087"/>
      <c r="P90" s="1087"/>
      <c r="Q90" s="1087"/>
      <c r="R90" s="1563"/>
      <c r="S90" s="1087"/>
      <c r="T90" s="1087"/>
      <c r="U90" s="481"/>
      <c r="V90" s="1087"/>
      <c r="W90" s="1087"/>
      <c r="X90" s="1087"/>
      <c r="Y90" s="1087"/>
      <c r="Z90" s="1087"/>
      <c r="AA90" s="1559"/>
      <c r="AB90" s="503"/>
      <c r="AC90" s="503"/>
      <c r="AD90" s="503"/>
      <c r="AE90" s="503"/>
      <c r="AF90" s="1568">
        <v>11</v>
      </c>
    </row>
    <row r="91" spans="1:32" s="1568" customFormat="1" ht="11.25" customHeight="1">
      <c r="A91" s="917"/>
      <c r="B91" s="1563"/>
      <c r="C91" s="1563"/>
      <c r="D91" s="288"/>
      <c r="K91" s="1087"/>
      <c r="L91" s="1563"/>
      <c r="M91" s="1563"/>
      <c r="N91" s="1087"/>
      <c r="O91" s="1087"/>
      <c r="P91" s="1087"/>
      <c r="Q91" s="1087"/>
      <c r="R91" s="1563"/>
      <c r="S91" s="1087"/>
      <c r="T91" s="1087"/>
      <c r="U91" s="481"/>
      <c r="V91" s="1087"/>
      <c r="W91" s="1087"/>
      <c r="X91" s="1087"/>
      <c r="Y91" s="1087"/>
      <c r="Z91" s="1087"/>
      <c r="AA91" s="1559"/>
      <c r="AB91" s="503"/>
      <c r="AC91" s="503"/>
      <c r="AD91" s="503"/>
      <c r="AE91" s="503"/>
      <c r="AF91" s="1568">
        <v>11</v>
      </c>
    </row>
    <row r="92" spans="1:32" s="1568" customFormat="1" ht="11.25" customHeight="1">
      <c r="A92" s="917"/>
      <c r="B92" s="1563"/>
      <c r="C92" s="1563"/>
      <c r="D92" s="288"/>
      <c r="K92" s="1087"/>
      <c r="L92" s="1563"/>
      <c r="M92" s="1563"/>
      <c r="N92" s="1087"/>
      <c r="O92" s="1087"/>
      <c r="P92" s="1087"/>
      <c r="Q92" s="1087"/>
      <c r="R92" s="1563"/>
      <c r="S92" s="1087"/>
      <c r="T92" s="1087"/>
      <c r="U92" s="481"/>
      <c r="V92" s="1087"/>
      <c r="W92" s="1087"/>
      <c r="X92" s="1087"/>
      <c r="Y92" s="1087"/>
      <c r="Z92" s="1087"/>
      <c r="AA92" s="1559"/>
      <c r="AB92" s="503"/>
      <c r="AC92" s="503"/>
      <c r="AD92" s="503"/>
      <c r="AE92" s="503"/>
      <c r="AF92" s="1568">
        <v>11</v>
      </c>
    </row>
    <row r="93" spans="1:32" s="1568" customFormat="1" ht="11.25" customHeight="1">
      <c r="A93" s="917"/>
      <c r="B93" s="1563"/>
      <c r="C93" s="1563"/>
      <c r="D93" s="288"/>
      <c r="K93" s="1087"/>
      <c r="L93" s="1563"/>
      <c r="M93" s="1563"/>
      <c r="N93" s="1087"/>
      <c r="O93" s="1087"/>
      <c r="P93" s="1087"/>
      <c r="Q93" s="1087"/>
      <c r="R93" s="1563"/>
      <c r="S93" s="1087"/>
      <c r="T93" s="1087"/>
      <c r="U93" s="481"/>
      <c r="V93" s="1087"/>
      <c r="W93" s="1087"/>
      <c r="X93" s="1087"/>
      <c r="Y93" s="1087"/>
      <c r="Z93" s="1087"/>
      <c r="AA93" s="1559"/>
      <c r="AB93" s="503"/>
      <c r="AC93" s="503"/>
      <c r="AD93" s="503"/>
      <c r="AE93" s="503"/>
      <c r="AF93" s="1568">
        <v>11</v>
      </c>
    </row>
    <row r="94" spans="1:32" s="1568" customFormat="1" ht="11.25" customHeight="1">
      <c r="A94" s="917"/>
      <c r="B94" s="1563"/>
      <c r="C94" s="1563"/>
      <c r="D94" s="288"/>
      <c r="K94" s="1087"/>
      <c r="L94" s="1563"/>
      <c r="M94" s="1563"/>
      <c r="N94" s="1087"/>
      <c r="O94" s="1087"/>
      <c r="P94" s="1087"/>
      <c r="Q94" s="1087"/>
      <c r="R94" s="1563"/>
      <c r="S94" s="1087"/>
      <c r="T94" s="1087"/>
      <c r="U94" s="481"/>
      <c r="V94" s="1087"/>
      <c r="W94" s="1087"/>
      <c r="X94" s="1087"/>
      <c r="Y94" s="1087"/>
      <c r="Z94" s="1087"/>
      <c r="AA94" s="1559"/>
      <c r="AB94" s="503"/>
      <c r="AC94" s="503"/>
      <c r="AD94" s="503"/>
      <c r="AE94" s="503"/>
      <c r="AF94" s="1568">
        <v>11</v>
      </c>
    </row>
    <row r="95" spans="1:32" s="1568" customFormat="1" ht="11.25" customHeight="1">
      <c r="A95" s="917"/>
      <c r="B95" s="1563"/>
      <c r="C95" s="1563"/>
      <c r="D95" s="288"/>
      <c r="K95" s="1087"/>
      <c r="L95" s="1563"/>
      <c r="M95" s="1563"/>
      <c r="N95" s="1087"/>
      <c r="O95" s="1087"/>
      <c r="P95" s="1087"/>
      <c r="Q95" s="1087"/>
      <c r="R95" s="1563"/>
      <c r="S95" s="1087"/>
      <c r="T95" s="1087"/>
      <c r="U95" s="481"/>
      <c r="V95" s="1087"/>
      <c r="W95" s="1087"/>
      <c r="X95" s="1087"/>
      <c r="Y95" s="1087"/>
      <c r="Z95" s="1087"/>
      <c r="AA95" s="1559"/>
      <c r="AB95" s="503"/>
      <c r="AC95" s="503"/>
      <c r="AD95" s="503"/>
      <c r="AE95" s="503"/>
      <c r="AF95" s="1568">
        <v>11</v>
      </c>
    </row>
    <row r="96" spans="1:32" s="1568" customFormat="1" ht="11.25" customHeight="1">
      <c r="A96" s="917"/>
      <c r="B96" s="1563"/>
      <c r="C96" s="1563"/>
      <c r="D96" s="288"/>
      <c r="K96" s="1087"/>
      <c r="L96" s="1563"/>
      <c r="M96" s="1563"/>
      <c r="N96" s="1087"/>
      <c r="O96" s="1087"/>
      <c r="P96" s="1087"/>
      <c r="Q96" s="1087"/>
      <c r="R96" s="1563"/>
      <c r="S96" s="1087"/>
      <c r="T96" s="1087"/>
      <c r="U96" s="481"/>
      <c r="V96" s="1087"/>
      <c r="W96" s="1087"/>
      <c r="X96" s="1087"/>
      <c r="Y96" s="1087"/>
      <c r="Z96" s="1087"/>
      <c r="AA96" s="1559"/>
      <c r="AB96" s="503"/>
      <c r="AC96" s="503"/>
      <c r="AD96" s="503"/>
      <c r="AE96" s="503"/>
      <c r="AF96" s="1568">
        <v>11</v>
      </c>
    </row>
    <row r="97" spans="1:32" s="1568" customFormat="1" ht="11.25" customHeight="1">
      <c r="A97" s="917"/>
      <c r="B97" s="1563"/>
      <c r="C97" s="1563"/>
      <c r="D97" s="288"/>
      <c r="K97" s="1087"/>
      <c r="L97" s="1563"/>
      <c r="M97" s="1563"/>
      <c r="N97" s="1087"/>
      <c r="O97" s="1087"/>
      <c r="P97" s="1087"/>
      <c r="Q97" s="1087"/>
      <c r="R97" s="1563"/>
      <c r="S97" s="1087"/>
      <c r="T97" s="1087"/>
      <c r="U97" s="481"/>
      <c r="V97" s="1087"/>
      <c r="W97" s="1087"/>
      <c r="X97" s="1087"/>
      <c r="Y97" s="1087"/>
      <c r="Z97" s="1087"/>
      <c r="AA97" s="1559"/>
      <c r="AB97" s="503"/>
      <c r="AC97" s="503"/>
      <c r="AD97" s="503"/>
      <c r="AE97" s="503"/>
      <c r="AF97" s="1568">
        <v>11</v>
      </c>
    </row>
    <row r="98" spans="1:32" s="1568" customFormat="1" ht="11.25" customHeight="1">
      <c r="A98" s="917"/>
      <c r="B98" s="1563"/>
      <c r="C98" s="1563"/>
      <c r="D98" s="288"/>
      <c r="K98" s="1087"/>
      <c r="L98" s="1563"/>
      <c r="M98" s="1563"/>
      <c r="N98" s="1087"/>
      <c r="O98" s="1087"/>
      <c r="P98" s="1087"/>
      <c r="Q98" s="1087"/>
      <c r="R98" s="1563"/>
      <c r="S98" s="1087"/>
      <c r="T98" s="1087"/>
      <c r="U98" s="481"/>
      <c r="V98" s="1087"/>
      <c r="W98" s="1087"/>
      <c r="X98" s="1087"/>
      <c r="Y98" s="1087"/>
      <c r="Z98" s="1087"/>
      <c r="AA98" s="1559"/>
      <c r="AB98" s="503"/>
      <c r="AC98" s="503"/>
      <c r="AD98" s="503"/>
      <c r="AE98" s="503"/>
      <c r="AF98" s="1568">
        <v>11</v>
      </c>
    </row>
    <row r="99" spans="1:32" s="1568" customFormat="1" ht="11.25" customHeight="1">
      <c r="A99" s="917"/>
      <c r="B99" s="1563"/>
      <c r="C99" s="1563"/>
      <c r="D99" s="288"/>
      <c r="K99" s="1087"/>
      <c r="L99" s="1563"/>
      <c r="M99" s="1563"/>
      <c r="N99" s="1087"/>
      <c r="O99" s="1087"/>
      <c r="P99" s="1087"/>
      <c r="Q99" s="1087"/>
      <c r="R99" s="1563"/>
      <c r="S99" s="1087"/>
      <c r="T99" s="1087"/>
      <c r="U99" s="481"/>
      <c r="V99" s="1087"/>
      <c r="W99" s="1087"/>
      <c r="X99" s="1087"/>
      <c r="Y99" s="1087"/>
      <c r="Z99" s="1087"/>
      <c r="AA99" s="1559"/>
      <c r="AB99" s="503"/>
      <c r="AC99" s="503"/>
      <c r="AD99" s="503"/>
      <c r="AE99" s="503"/>
      <c r="AF99" s="1568">
        <v>11</v>
      </c>
    </row>
    <row r="100" spans="1:32" s="1568" customFormat="1" ht="11.25" customHeight="1">
      <c r="A100" s="917"/>
      <c r="B100" s="1563"/>
      <c r="C100" s="1563"/>
      <c r="D100" s="288"/>
      <c r="K100" s="1087"/>
      <c r="L100" s="1563"/>
      <c r="M100" s="1563"/>
      <c r="N100" s="1087"/>
      <c r="O100" s="1087"/>
      <c r="P100" s="1087"/>
      <c r="Q100" s="1087"/>
      <c r="R100" s="1563"/>
      <c r="S100" s="1087"/>
      <c r="T100" s="1087"/>
      <c r="U100" s="481"/>
      <c r="V100" s="1087"/>
      <c r="W100" s="1087"/>
      <c r="X100" s="1087"/>
      <c r="Y100" s="1087"/>
      <c r="Z100" s="1087"/>
      <c r="AA100" s="1559"/>
      <c r="AB100" s="503"/>
      <c r="AC100" s="503"/>
      <c r="AD100" s="503"/>
      <c r="AE100" s="503"/>
      <c r="AF100" s="1568">
        <v>11</v>
      </c>
    </row>
    <row r="101" spans="1:32" s="1568" customFormat="1" ht="11.25" customHeight="1">
      <c r="A101" s="917"/>
      <c r="B101" s="1563"/>
      <c r="C101" s="1563"/>
      <c r="D101" s="288"/>
      <c r="K101" s="1087"/>
      <c r="L101" s="1563"/>
      <c r="M101" s="1563"/>
      <c r="N101" s="1087"/>
      <c r="O101" s="1087"/>
      <c r="P101" s="1087"/>
      <c r="Q101" s="1087"/>
      <c r="R101" s="1563"/>
      <c r="S101" s="1087"/>
      <c r="T101" s="1087"/>
      <c r="U101" s="481"/>
      <c r="V101" s="1087"/>
      <c r="W101" s="1087"/>
      <c r="X101" s="1087"/>
      <c r="Y101" s="1087"/>
      <c r="Z101" s="1087"/>
      <c r="AA101" s="1559"/>
      <c r="AB101" s="503"/>
      <c r="AC101" s="503"/>
      <c r="AD101" s="503"/>
      <c r="AE101" s="503"/>
      <c r="AF101" s="1568">
        <v>11</v>
      </c>
    </row>
    <row r="102" spans="1:32" s="1568" customFormat="1" ht="11.25" customHeight="1">
      <c r="A102" s="917"/>
      <c r="B102" s="1563"/>
      <c r="C102" s="1563"/>
      <c r="D102" s="288"/>
      <c r="K102" s="1087"/>
      <c r="L102" s="1563"/>
      <c r="M102" s="1563"/>
      <c r="N102" s="1087"/>
      <c r="O102" s="1087"/>
      <c r="P102" s="1087"/>
      <c r="Q102" s="1087"/>
      <c r="R102" s="1563"/>
      <c r="S102" s="1087"/>
      <c r="T102" s="1087"/>
      <c r="U102" s="481"/>
      <c r="V102" s="1087"/>
      <c r="W102" s="1087"/>
      <c r="X102" s="1087"/>
      <c r="Y102" s="1087"/>
      <c r="Z102" s="1087"/>
      <c r="AA102" s="1559"/>
      <c r="AB102" s="503"/>
      <c r="AC102" s="503"/>
      <c r="AD102" s="503"/>
      <c r="AE102" s="503"/>
      <c r="AF102" s="1568">
        <v>11</v>
      </c>
    </row>
    <row r="103" spans="1:32" s="1568" customFormat="1" ht="11.25" customHeight="1">
      <c r="A103" s="917"/>
      <c r="B103" s="1563"/>
      <c r="C103" s="1563"/>
      <c r="D103" s="288"/>
      <c r="K103" s="1087"/>
      <c r="L103" s="1563"/>
      <c r="M103" s="1563"/>
      <c r="N103" s="1087"/>
      <c r="O103" s="1087"/>
      <c r="P103" s="1087"/>
      <c r="Q103" s="1087"/>
      <c r="R103" s="1563"/>
      <c r="S103" s="1087"/>
      <c r="T103" s="1087"/>
      <c r="U103" s="481"/>
      <c r="V103" s="1087"/>
      <c r="W103" s="1087"/>
      <c r="X103" s="1087"/>
      <c r="Y103" s="1087"/>
      <c r="Z103" s="1087"/>
      <c r="AA103" s="1559"/>
      <c r="AB103" s="503"/>
      <c r="AC103" s="503"/>
      <c r="AD103" s="503"/>
      <c r="AE103" s="503"/>
      <c r="AF103" s="1568">
        <v>11</v>
      </c>
    </row>
    <row r="104" spans="1:32" s="1568" customFormat="1" ht="11.25" customHeight="1">
      <c r="A104" s="917"/>
      <c r="B104" s="1563"/>
      <c r="C104" s="1563"/>
      <c r="D104" s="288"/>
      <c r="K104" s="1087"/>
      <c r="L104" s="1563"/>
      <c r="M104" s="1563"/>
      <c r="N104" s="1087"/>
      <c r="O104" s="1087"/>
      <c r="P104" s="1087"/>
      <c r="Q104" s="1087"/>
      <c r="R104" s="1563"/>
      <c r="S104" s="1087"/>
      <c r="T104" s="1087"/>
      <c r="U104" s="481"/>
      <c r="V104" s="1087"/>
      <c r="W104" s="1087"/>
      <c r="X104" s="1087"/>
      <c r="Y104" s="1087"/>
      <c r="Z104" s="1087"/>
      <c r="AA104" s="1559"/>
      <c r="AB104" s="503"/>
      <c r="AC104" s="503"/>
      <c r="AD104" s="503"/>
      <c r="AE104" s="503"/>
      <c r="AF104" s="1568">
        <v>11</v>
      </c>
    </row>
    <row r="105" spans="1:32" s="1568" customFormat="1" ht="11.25" customHeight="1">
      <c r="A105" s="917"/>
      <c r="B105" s="1563"/>
      <c r="C105" s="1563"/>
      <c r="D105" s="288"/>
      <c r="K105" s="1087"/>
      <c r="L105" s="1563"/>
      <c r="M105" s="1563"/>
      <c r="N105" s="1087"/>
      <c r="O105" s="1087"/>
      <c r="P105" s="1087"/>
      <c r="Q105" s="1087"/>
      <c r="R105" s="1563"/>
      <c r="S105" s="1087"/>
      <c r="T105" s="1087"/>
      <c r="U105" s="481"/>
      <c r="V105" s="1087"/>
      <c r="W105" s="1087"/>
      <c r="X105" s="1087"/>
      <c r="Y105" s="1087"/>
      <c r="Z105" s="1087"/>
      <c r="AA105" s="1559"/>
      <c r="AB105" s="503"/>
      <c r="AC105" s="503"/>
      <c r="AD105" s="503"/>
      <c r="AE105" s="503"/>
      <c r="AF105" s="1568">
        <v>11</v>
      </c>
    </row>
    <row r="106" spans="1:32" s="1568" customFormat="1" ht="11.25" customHeight="1">
      <c r="A106" s="917"/>
      <c r="B106" s="1563"/>
      <c r="C106" s="1563"/>
      <c r="D106" s="288"/>
      <c r="K106" s="1087"/>
      <c r="L106" s="1563"/>
      <c r="M106" s="1563"/>
      <c r="N106" s="1087"/>
      <c r="O106" s="1087"/>
      <c r="P106" s="1087"/>
      <c r="Q106" s="1087"/>
      <c r="R106" s="1563"/>
      <c r="S106" s="1087"/>
      <c r="T106" s="1087"/>
      <c r="U106" s="481"/>
      <c r="V106" s="1087"/>
      <c r="W106" s="1087"/>
      <c r="X106" s="1087"/>
      <c r="Y106" s="1087"/>
      <c r="Z106" s="1087"/>
      <c r="AA106" s="1559"/>
      <c r="AB106" s="503"/>
      <c r="AC106" s="503"/>
      <c r="AD106" s="503"/>
      <c r="AE106" s="503"/>
      <c r="AF106" s="1568">
        <v>11</v>
      </c>
    </row>
    <row r="107" spans="1:32" s="1568" customFormat="1" ht="11.25" customHeight="1">
      <c r="A107" s="917"/>
      <c r="B107" s="1563"/>
      <c r="C107" s="1563"/>
      <c r="D107" s="288"/>
      <c r="K107" s="1087"/>
      <c r="L107" s="1563"/>
      <c r="M107" s="1563"/>
      <c r="N107" s="1087"/>
      <c r="O107" s="1087"/>
      <c r="P107" s="1087"/>
      <c r="Q107" s="1087"/>
      <c r="R107" s="1563"/>
      <c r="S107" s="1087"/>
      <c r="T107" s="1087"/>
      <c r="U107" s="481"/>
      <c r="V107" s="1087"/>
      <c r="W107" s="1087"/>
      <c r="X107" s="1087"/>
      <c r="Y107" s="1087"/>
      <c r="Z107" s="1087"/>
      <c r="AA107" s="1559"/>
      <c r="AB107" s="503"/>
      <c r="AC107" s="503"/>
      <c r="AD107" s="503"/>
      <c r="AE107" s="503"/>
      <c r="AF107" s="1568">
        <v>11</v>
      </c>
    </row>
    <row r="108" spans="1:32" s="1568" customFormat="1" ht="11.25" customHeight="1">
      <c r="A108" s="917"/>
      <c r="B108" s="1563"/>
      <c r="C108" s="1563"/>
      <c r="D108" s="288"/>
      <c r="K108" s="1087"/>
      <c r="L108" s="1563"/>
      <c r="M108" s="1563"/>
      <c r="N108" s="1087"/>
      <c r="O108" s="1087"/>
      <c r="P108" s="1087"/>
      <c r="Q108" s="1087"/>
      <c r="R108" s="1563"/>
      <c r="S108" s="1087"/>
      <c r="T108" s="1087"/>
      <c r="U108" s="481"/>
      <c r="V108" s="1087"/>
      <c r="W108" s="1087"/>
      <c r="X108" s="1087"/>
      <c r="Y108" s="1087"/>
      <c r="Z108" s="1087"/>
      <c r="AA108" s="1559"/>
      <c r="AB108" s="503"/>
      <c r="AC108" s="503"/>
      <c r="AD108" s="503"/>
      <c r="AE108" s="503"/>
      <c r="AF108" s="1568">
        <v>11</v>
      </c>
    </row>
    <row r="109" spans="1:32" s="1568" customFormat="1" ht="11.25" customHeight="1">
      <c r="A109" s="917"/>
      <c r="B109" s="1563"/>
      <c r="C109" s="1563"/>
      <c r="D109" s="288"/>
      <c r="K109" s="1087"/>
      <c r="L109" s="1563"/>
      <c r="M109" s="1563"/>
      <c r="N109" s="1087"/>
      <c r="O109" s="1087"/>
      <c r="P109" s="1087"/>
      <c r="Q109" s="1087"/>
      <c r="R109" s="1563"/>
      <c r="S109" s="1087"/>
      <c r="T109" s="1087"/>
      <c r="U109" s="481"/>
      <c r="V109" s="1087"/>
      <c r="W109" s="1087"/>
      <c r="X109" s="1087"/>
      <c r="Y109" s="1087"/>
      <c r="Z109" s="1087"/>
      <c r="AA109" s="1559"/>
      <c r="AB109" s="503"/>
      <c r="AC109" s="503"/>
      <c r="AD109" s="503"/>
      <c r="AE109" s="503"/>
      <c r="AF109" s="1568">
        <v>11</v>
      </c>
    </row>
    <row r="110" spans="1:32" s="1568" customFormat="1" ht="11.25" customHeight="1">
      <c r="A110" s="917"/>
      <c r="B110" s="1563"/>
      <c r="C110" s="1563"/>
      <c r="D110" s="288"/>
      <c r="K110" s="1087"/>
      <c r="L110" s="1563"/>
      <c r="M110" s="1563"/>
      <c r="N110" s="1087"/>
      <c r="O110" s="1087"/>
      <c r="P110" s="1087"/>
      <c r="Q110" s="1087"/>
      <c r="R110" s="1563"/>
      <c r="S110" s="1087"/>
      <c r="T110" s="1087"/>
      <c r="U110" s="481"/>
      <c r="V110" s="1087"/>
      <c r="W110" s="1087"/>
      <c r="X110" s="1087"/>
      <c r="Y110" s="1087"/>
      <c r="Z110" s="1087"/>
      <c r="AA110" s="1559"/>
      <c r="AB110" s="503"/>
      <c r="AC110" s="503"/>
      <c r="AD110" s="503"/>
      <c r="AE110" s="503"/>
      <c r="AF110" s="1568">
        <v>11</v>
      </c>
    </row>
    <row r="111" spans="1:32" s="1568" customFormat="1" ht="11.25" customHeight="1">
      <c r="A111" s="917"/>
      <c r="B111" s="1563"/>
      <c r="C111" s="1563"/>
      <c r="D111" s="288"/>
      <c r="K111" s="1087"/>
      <c r="L111" s="1563"/>
      <c r="M111" s="1563"/>
      <c r="N111" s="1087"/>
      <c r="O111" s="1087"/>
      <c r="P111" s="1087"/>
      <c r="Q111" s="1087"/>
      <c r="R111" s="1563"/>
      <c r="S111" s="1087"/>
      <c r="T111" s="1087"/>
      <c r="U111" s="481"/>
      <c r="V111" s="1087"/>
      <c r="W111" s="1087"/>
      <c r="X111" s="1087"/>
      <c r="Y111" s="1087"/>
      <c r="Z111" s="1087"/>
      <c r="AA111" s="1559"/>
      <c r="AB111" s="503"/>
      <c r="AC111" s="503"/>
      <c r="AD111" s="503"/>
      <c r="AE111" s="503"/>
      <c r="AF111" s="1568">
        <v>11</v>
      </c>
    </row>
    <row r="112" spans="1:32" s="1568" customFormat="1" ht="11.25" customHeight="1">
      <c r="A112" s="917"/>
      <c r="B112" s="1563"/>
      <c r="C112" s="1563"/>
      <c r="D112" s="288"/>
      <c r="K112" s="1087"/>
      <c r="L112" s="1563"/>
      <c r="M112" s="1563"/>
      <c r="N112" s="1087"/>
      <c r="O112" s="1087"/>
      <c r="P112" s="1087"/>
      <c r="Q112" s="1087"/>
      <c r="R112" s="1563"/>
      <c r="S112" s="1087"/>
      <c r="T112" s="1087"/>
      <c r="U112" s="481"/>
      <c r="V112" s="1087"/>
      <c r="W112" s="1087"/>
      <c r="X112" s="1087"/>
      <c r="Y112" s="1087"/>
      <c r="Z112" s="1087"/>
      <c r="AA112" s="1559"/>
      <c r="AB112" s="503"/>
      <c r="AC112" s="503"/>
      <c r="AD112" s="503"/>
      <c r="AE112" s="503"/>
      <c r="AF112" s="1568">
        <v>11</v>
      </c>
    </row>
    <row r="113" spans="1:32" s="1568" customFormat="1" ht="11.25" customHeight="1">
      <c r="A113" s="917"/>
      <c r="B113" s="1563"/>
      <c r="C113" s="1563"/>
      <c r="D113" s="288"/>
      <c r="K113" s="1087"/>
      <c r="L113" s="1563"/>
      <c r="M113" s="1563"/>
      <c r="N113" s="1087"/>
      <c r="O113" s="1087"/>
      <c r="P113" s="1087"/>
      <c r="Q113" s="1087"/>
      <c r="R113" s="1563"/>
      <c r="S113" s="1087"/>
      <c r="T113" s="1087"/>
      <c r="U113" s="481"/>
      <c r="V113" s="1087"/>
      <c r="W113" s="1087"/>
      <c r="X113" s="1087"/>
      <c r="Y113" s="1087"/>
      <c r="Z113" s="1087"/>
      <c r="AA113" s="1559"/>
      <c r="AB113" s="503"/>
      <c r="AC113" s="503"/>
      <c r="AD113" s="503"/>
      <c r="AE113" s="503"/>
      <c r="AF113" s="1568">
        <v>11</v>
      </c>
    </row>
    <row r="114" spans="1:32" s="1568" customFormat="1" ht="11.25" customHeight="1">
      <c r="A114" s="917"/>
      <c r="B114" s="1563"/>
      <c r="C114" s="1563"/>
      <c r="D114" s="288"/>
      <c r="K114" s="1087"/>
      <c r="L114" s="1563"/>
      <c r="M114" s="1563"/>
      <c r="N114" s="1087"/>
      <c r="O114" s="1087"/>
      <c r="P114" s="1087"/>
      <c r="Q114" s="1087"/>
      <c r="R114" s="1563"/>
      <c r="S114" s="1087"/>
      <c r="T114" s="1087"/>
      <c r="U114" s="481"/>
      <c r="V114" s="1087"/>
      <c r="W114" s="1087"/>
      <c r="X114" s="1087"/>
      <c r="Y114" s="1087"/>
      <c r="Z114" s="1087"/>
      <c r="AA114" s="1559"/>
      <c r="AB114" s="503"/>
      <c r="AC114" s="503"/>
      <c r="AD114" s="503"/>
      <c r="AE114" s="503"/>
      <c r="AF114" s="1568">
        <v>11</v>
      </c>
    </row>
    <row r="115" spans="1:32" s="1568" customFormat="1" ht="11.25" customHeight="1">
      <c r="A115" s="917"/>
      <c r="B115" s="1563"/>
      <c r="C115" s="1563"/>
      <c r="D115" s="288"/>
      <c r="K115" s="1087"/>
      <c r="L115" s="1563"/>
      <c r="M115" s="1563"/>
      <c r="N115" s="1087"/>
      <c r="O115" s="1087"/>
      <c r="P115" s="1087"/>
      <c r="Q115" s="1087"/>
      <c r="R115" s="1563"/>
      <c r="S115" s="1087"/>
      <c r="T115" s="1087"/>
      <c r="U115" s="481"/>
      <c r="V115" s="1087"/>
      <c r="W115" s="1087"/>
      <c r="X115" s="1087"/>
      <c r="Y115" s="1087"/>
      <c r="Z115" s="1087"/>
      <c r="AA115" s="1559"/>
      <c r="AB115" s="503"/>
      <c r="AC115" s="503"/>
      <c r="AD115" s="503"/>
      <c r="AE115" s="503"/>
      <c r="AF115" s="1568">
        <v>11</v>
      </c>
    </row>
    <row r="116" spans="1:32" s="1568" customFormat="1" ht="11.25" customHeight="1">
      <c r="A116" s="917"/>
      <c r="B116" s="1563"/>
      <c r="C116" s="1563"/>
      <c r="D116" s="288"/>
      <c r="K116" s="1087"/>
      <c r="L116" s="1563"/>
      <c r="M116" s="1563"/>
      <c r="N116" s="1087"/>
      <c r="O116" s="1087"/>
      <c r="P116" s="1087"/>
      <c r="Q116" s="1087"/>
      <c r="R116" s="1563"/>
      <c r="S116" s="1087"/>
      <c r="T116" s="1087"/>
      <c r="U116" s="481"/>
      <c r="V116" s="1087"/>
      <c r="W116" s="1087"/>
      <c r="X116" s="1087"/>
      <c r="Y116" s="1087"/>
      <c r="Z116" s="1087"/>
      <c r="AA116" s="1559"/>
      <c r="AB116" s="503"/>
      <c r="AC116" s="503"/>
      <c r="AD116" s="503"/>
      <c r="AE116" s="503"/>
      <c r="AF116" s="1568">
        <v>11</v>
      </c>
    </row>
    <row r="117" spans="1:32" s="1568" customFormat="1" ht="11.25" customHeight="1">
      <c r="A117" s="917"/>
      <c r="B117" s="1563"/>
      <c r="C117" s="1563"/>
      <c r="D117" s="288"/>
      <c r="K117" s="1087"/>
      <c r="L117" s="1563"/>
      <c r="M117" s="1563"/>
      <c r="N117" s="1087"/>
      <c r="O117" s="1087"/>
      <c r="P117" s="1087"/>
      <c r="Q117" s="1087"/>
      <c r="R117" s="1563"/>
      <c r="S117" s="1087"/>
      <c r="T117" s="1087"/>
      <c r="U117" s="481"/>
      <c r="V117" s="1087"/>
      <c r="W117" s="1087"/>
      <c r="X117" s="1087"/>
      <c r="Y117" s="1087"/>
      <c r="Z117" s="1087"/>
      <c r="AA117" s="1559"/>
      <c r="AB117" s="503"/>
      <c r="AC117" s="503"/>
      <c r="AD117" s="503"/>
      <c r="AE117" s="503"/>
      <c r="AF117" s="1568">
        <v>11</v>
      </c>
    </row>
    <row r="118" spans="1:32" s="1568" customFormat="1" ht="11.25" customHeight="1">
      <c r="A118" s="917"/>
      <c r="B118" s="1563"/>
      <c r="C118" s="1563"/>
      <c r="D118" s="288"/>
      <c r="K118" s="1087"/>
      <c r="L118" s="1563"/>
      <c r="M118" s="1563"/>
      <c r="N118" s="1087"/>
      <c r="O118" s="1087"/>
      <c r="P118" s="1087"/>
      <c r="Q118" s="1087"/>
      <c r="R118" s="1563"/>
      <c r="S118" s="1087"/>
      <c r="T118" s="1087"/>
      <c r="U118" s="481"/>
      <c r="V118" s="1087"/>
      <c r="W118" s="1087"/>
      <c r="X118" s="1087"/>
      <c r="Y118" s="1087"/>
      <c r="Z118" s="1087"/>
      <c r="AA118" s="1559"/>
      <c r="AB118" s="503"/>
      <c r="AC118" s="503"/>
      <c r="AD118" s="503"/>
      <c r="AE118" s="503"/>
      <c r="AF118" s="1568">
        <v>11</v>
      </c>
    </row>
    <row r="119" spans="1:32" s="1568" customFormat="1" ht="11.25" customHeight="1">
      <c r="A119" s="917"/>
      <c r="B119" s="1563"/>
      <c r="C119" s="1563"/>
      <c r="D119" s="288"/>
      <c r="K119" s="1087"/>
      <c r="L119" s="1563"/>
      <c r="M119" s="1563"/>
      <c r="N119" s="1087"/>
      <c r="O119" s="1087"/>
      <c r="P119" s="1087"/>
      <c r="Q119" s="1087"/>
      <c r="R119" s="1563"/>
      <c r="S119" s="1087"/>
      <c r="T119" s="1087"/>
      <c r="U119" s="481"/>
      <c r="V119" s="1087"/>
      <c r="W119" s="1087"/>
      <c r="X119" s="1087"/>
      <c r="Y119" s="1087"/>
      <c r="Z119" s="1087"/>
      <c r="AA119" s="1559"/>
      <c r="AB119" s="503"/>
      <c r="AC119" s="503"/>
      <c r="AD119" s="503"/>
      <c r="AE119" s="503"/>
      <c r="AF119" s="1568">
        <v>11</v>
      </c>
    </row>
    <row r="120" spans="1:32" s="1568" customFormat="1" ht="11.25" customHeight="1">
      <c r="A120" s="917"/>
      <c r="B120" s="1563"/>
      <c r="C120" s="1563"/>
      <c r="D120" s="288"/>
      <c r="K120" s="1087"/>
      <c r="L120" s="1563"/>
      <c r="M120" s="1563"/>
      <c r="N120" s="1087"/>
      <c r="O120" s="1087"/>
      <c r="P120" s="1087"/>
      <c r="Q120" s="1087"/>
      <c r="R120" s="1563"/>
      <c r="S120" s="1087"/>
      <c r="T120" s="1087"/>
      <c r="U120" s="481"/>
      <c r="V120" s="1087"/>
      <c r="W120" s="1087"/>
      <c r="X120" s="1087"/>
      <c r="Y120" s="1087"/>
      <c r="Z120" s="1087"/>
      <c r="AA120" s="1559"/>
      <c r="AB120" s="503"/>
      <c r="AC120" s="503"/>
      <c r="AD120" s="503"/>
      <c r="AE120" s="503"/>
      <c r="AF120" s="1568">
        <v>11</v>
      </c>
    </row>
    <row r="121" spans="1:32" s="1568" customFormat="1" ht="11.25" customHeight="1">
      <c r="A121" s="917"/>
      <c r="B121" s="1563"/>
      <c r="C121" s="1563"/>
      <c r="D121" s="288"/>
      <c r="K121" s="1087"/>
      <c r="L121" s="1563"/>
      <c r="M121" s="1563"/>
      <c r="N121" s="1087"/>
      <c r="O121" s="1087"/>
      <c r="P121" s="1087"/>
      <c r="Q121" s="1087"/>
      <c r="R121" s="1563"/>
      <c r="S121" s="1087"/>
      <c r="T121" s="1087"/>
      <c r="U121" s="481"/>
      <c r="V121" s="1087"/>
      <c r="W121" s="1087"/>
      <c r="X121" s="1087"/>
      <c r="Y121" s="1087"/>
      <c r="Z121" s="1087"/>
      <c r="AA121" s="1559"/>
      <c r="AB121" s="503"/>
      <c r="AC121" s="503"/>
      <c r="AD121" s="503"/>
      <c r="AE121" s="503"/>
      <c r="AF121" s="1568">
        <v>11</v>
      </c>
    </row>
    <row r="122" spans="1:32" s="1568" customFormat="1" ht="11.25" customHeight="1">
      <c r="A122" s="917"/>
      <c r="B122" s="1563"/>
      <c r="C122" s="1563"/>
      <c r="D122" s="288"/>
      <c r="K122" s="1087"/>
      <c r="L122" s="1563"/>
      <c r="M122" s="1563"/>
      <c r="N122" s="1087"/>
      <c r="O122" s="1087"/>
      <c r="P122" s="1087"/>
      <c r="Q122" s="1087"/>
      <c r="R122" s="1563"/>
      <c r="S122" s="1087"/>
      <c r="T122" s="1087"/>
      <c r="U122" s="481"/>
      <c r="V122" s="1087"/>
      <c r="W122" s="1087"/>
      <c r="X122" s="1087"/>
      <c r="Y122" s="1087"/>
      <c r="Z122" s="1087"/>
      <c r="AA122" s="1559"/>
      <c r="AB122" s="503"/>
      <c r="AC122" s="503"/>
      <c r="AD122" s="503"/>
      <c r="AE122" s="503"/>
      <c r="AF122" s="1568">
        <v>11</v>
      </c>
    </row>
    <row r="123" spans="1:32" s="1568" customFormat="1" ht="11.25" customHeight="1">
      <c r="A123" s="917"/>
      <c r="B123" s="1563"/>
      <c r="C123" s="1563"/>
      <c r="D123" s="288"/>
      <c r="K123" s="1087"/>
      <c r="L123" s="1563"/>
      <c r="M123" s="1563"/>
      <c r="N123" s="1087"/>
      <c r="O123" s="1087"/>
      <c r="P123" s="1087"/>
      <c r="Q123" s="1087"/>
      <c r="R123" s="1563"/>
      <c r="S123" s="1087"/>
      <c r="T123" s="1087"/>
      <c r="U123" s="481"/>
      <c r="V123" s="1087"/>
      <c r="W123" s="1087"/>
      <c r="X123" s="1087"/>
      <c r="Y123" s="1087"/>
      <c r="Z123" s="1087"/>
      <c r="AA123" s="1559"/>
      <c r="AB123" s="503"/>
      <c r="AC123" s="503"/>
      <c r="AD123" s="503"/>
      <c r="AE123" s="503"/>
      <c r="AF123" s="1568">
        <v>11</v>
      </c>
    </row>
    <row r="124" spans="1:32" s="1568" customFormat="1" ht="11.25" customHeight="1">
      <c r="A124" s="917"/>
      <c r="B124" s="1563"/>
      <c r="C124" s="1563"/>
      <c r="D124" s="288"/>
      <c r="K124" s="1087"/>
      <c r="L124" s="1563"/>
      <c r="M124" s="1563"/>
      <c r="N124" s="1087"/>
      <c r="O124" s="1087"/>
      <c r="P124" s="1087"/>
      <c r="Q124" s="1087"/>
      <c r="R124" s="1563"/>
      <c r="S124" s="1087"/>
      <c r="T124" s="1087"/>
      <c r="U124" s="481"/>
      <c r="V124" s="1087"/>
      <c r="W124" s="1087"/>
      <c r="X124" s="1087"/>
      <c r="Y124" s="1087"/>
      <c r="Z124" s="1087"/>
      <c r="AA124" s="1559"/>
      <c r="AB124" s="503"/>
      <c r="AC124" s="503"/>
      <c r="AD124" s="503"/>
      <c r="AE124" s="503"/>
      <c r="AF124" s="1568">
        <v>11</v>
      </c>
    </row>
    <row r="125" spans="1:32" s="1568" customFormat="1" ht="11.25" customHeight="1">
      <c r="A125" s="917"/>
      <c r="B125" s="1563"/>
      <c r="C125" s="1563"/>
      <c r="D125" s="288"/>
      <c r="K125" s="1087"/>
      <c r="L125" s="1563"/>
      <c r="M125" s="1563"/>
      <c r="N125" s="1087"/>
      <c r="O125" s="1087"/>
      <c r="P125" s="1087"/>
      <c r="Q125" s="1087"/>
      <c r="R125" s="1563"/>
      <c r="S125" s="1087"/>
      <c r="T125" s="1087"/>
      <c r="U125" s="481"/>
      <c r="V125" s="1087"/>
      <c r="W125" s="1087"/>
      <c r="X125" s="1087"/>
      <c r="Y125" s="1087"/>
      <c r="Z125" s="1087"/>
      <c r="AA125" s="1559"/>
      <c r="AB125" s="503"/>
      <c r="AC125" s="503"/>
      <c r="AD125" s="503"/>
      <c r="AE125" s="503"/>
      <c r="AF125" s="1568">
        <v>11</v>
      </c>
    </row>
    <row r="126" spans="1:32" s="1568" customFormat="1" ht="11.25" customHeight="1">
      <c r="A126" s="917"/>
      <c r="B126" s="1563"/>
      <c r="C126" s="1563"/>
      <c r="D126" s="288"/>
      <c r="K126" s="1087"/>
      <c r="L126" s="1563"/>
      <c r="M126" s="1563"/>
      <c r="N126" s="1087"/>
      <c r="O126" s="1087"/>
      <c r="P126" s="1087"/>
      <c r="Q126" s="1087"/>
      <c r="R126" s="1563"/>
      <c r="S126" s="1087"/>
      <c r="T126" s="1087"/>
      <c r="U126" s="481"/>
      <c r="V126" s="1087"/>
      <c r="W126" s="1087"/>
      <c r="X126" s="1087"/>
      <c r="Y126" s="1087"/>
      <c r="Z126" s="1087"/>
      <c r="AA126" s="1559"/>
      <c r="AB126" s="503"/>
      <c r="AC126" s="503"/>
      <c r="AD126" s="503"/>
      <c r="AE126" s="503"/>
      <c r="AF126" s="1568">
        <v>11</v>
      </c>
    </row>
    <row r="127" spans="1:32" s="1568" customFormat="1" ht="11.25" customHeight="1">
      <c r="A127" s="917"/>
      <c r="B127" s="1563"/>
      <c r="C127" s="1563"/>
      <c r="D127" s="288"/>
      <c r="K127" s="1087"/>
      <c r="L127" s="1563"/>
      <c r="M127" s="1563"/>
      <c r="N127" s="1087"/>
      <c r="O127" s="1087"/>
      <c r="P127" s="1087"/>
      <c r="Q127" s="1087"/>
      <c r="R127" s="1563"/>
      <c r="S127" s="1087"/>
      <c r="T127" s="1087"/>
      <c r="U127" s="481"/>
      <c r="V127" s="1087"/>
      <c r="W127" s="1087"/>
      <c r="X127" s="1087"/>
      <c r="Y127" s="1087"/>
      <c r="Z127" s="1087"/>
      <c r="AA127" s="1559"/>
      <c r="AB127" s="503"/>
      <c r="AC127" s="503"/>
      <c r="AD127" s="503"/>
      <c r="AE127" s="503"/>
      <c r="AF127" s="1568">
        <v>11</v>
      </c>
    </row>
    <row r="128" spans="1:32" s="1568" customFormat="1" ht="11.25" customHeight="1">
      <c r="A128" s="917"/>
      <c r="B128" s="1563"/>
      <c r="C128" s="1563"/>
      <c r="D128" s="288"/>
      <c r="K128" s="1087"/>
      <c r="L128" s="1563"/>
      <c r="M128" s="1563"/>
      <c r="N128" s="1087"/>
      <c r="O128" s="1087"/>
      <c r="P128" s="1087"/>
      <c r="Q128" s="1087"/>
      <c r="R128" s="1563"/>
      <c r="S128" s="1087"/>
      <c r="T128" s="1087"/>
      <c r="U128" s="481"/>
      <c r="V128" s="1087"/>
      <c r="W128" s="1087"/>
      <c r="X128" s="1087"/>
      <c r="Y128" s="1087"/>
      <c r="Z128" s="1087"/>
      <c r="AA128" s="1559"/>
      <c r="AB128" s="503"/>
      <c r="AC128" s="503"/>
      <c r="AD128" s="503"/>
      <c r="AE128" s="503"/>
      <c r="AF128" s="1568">
        <v>11</v>
      </c>
    </row>
    <row r="129" spans="1:32" s="1568" customFormat="1" ht="11.25" customHeight="1">
      <c r="A129" s="917"/>
      <c r="B129" s="1563"/>
      <c r="C129" s="1563"/>
      <c r="D129" s="288"/>
      <c r="K129" s="1087"/>
      <c r="L129" s="1563"/>
      <c r="M129" s="1563"/>
      <c r="N129" s="1087"/>
      <c r="O129" s="1087"/>
      <c r="P129" s="1087"/>
      <c r="Q129" s="1087"/>
      <c r="R129" s="1563"/>
      <c r="S129" s="1087"/>
      <c r="T129" s="1087"/>
      <c r="U129" s="481"/>
      <c r="V129" s="1087"/>
      <c r="W129" s="1087"/>
      <c r="X129" s="1087"/>
      <c r="Y129" s="1087"/>
      <c r="Z129" s="1087"/>
      <c r="AA129" s="1559"/>
      <c r="AB129" s="503"/>
      <c r="AC129" s="503"/>
      <c r="AD129" s="503"/>
      <c r="AE129" s="503"/>
      <c r="AF129" s="1568">
        <v>11</v>
      </c>
    </row>
    <row r="130" spans="1:32" s="1568" customFormat="1" ht="11.25" customHeight="1">
      <c r="A130" s="917"/>
      <c r="B130" s="1563"/>
      <c r="C130" s="1563"/>
      <c r="D130" s="288"/>
      <c r="K130" s="1087"/>
      <c r="L130" s="1563"/>
      <c r="M130" s="1563"/>
      <c r="N130" s="1087"/>
      <c r="O130" s="1087"/>
      <c r="P130" s="1087"/>
      <c r="Q130" s="1087"/>
      <c r="R130" s="1563"/>
      <c r="S130" s="1087"/>
      <c r="T130" s="1087"/>
      <c r="U130" s="481"/>
      <c r="V130" s="1087"/>
      <c r="W130" s="1087"/>
      <c r="X130" s="1087"/>
      <c r="Y130" s="1087"/>
      <c r="Z130" s="1087"/>
      <c r="AA130" s="1559"/>
      <c r="AB130" s="503"/>
      <c r="AC130" s="503"/>
      <c r="AD130" s="503"/>
      <c r="AE130" s="503"/>
      <c r="AF130" s="1568">
        <v>11</v>
      </c>
    </row>
    <row r="131" spans="1:32" s="1568" customFormat="1" ht="11.25" customHeight="1">
      <c r="A131" s="917"/>
      <c r="B131" s="1563"/>
      <c r="C131" s="1563"/>
      <c r="D131" s="288"/>
      <c r="K131" s="1087"/>
      <c r="L131" s="1563"/>
      <c r="M131" s="1563"/>
      <c r="N131" s="1087"/>
      <c r="O131" s="1087"/>
      <c r="P131" s="1087"/>
      <c r="Q131" s="1087"/>
      <c r="R131" s="1563"/>
      <c r="S131" s="1087"/>
      <c r="T131" s="1087"/>
      <c r="U131" s="481"/>
      <c r="V131" s="1087"/>
      <c r="W131" s="1087"/>
      <c r="X131" s="1087"/>
      <c r="Y131" s="1087"/>
      <c r="Z131" s="1087"/>
      <c r="AA131" s="1559"/>
      <c r="AB131" s="503"/>
      <c r="AC131" s="503"/>
      <c r="AD131" s="503"/>
      <c r="AE131" s="503"/>
      <c r="AF131" s="1568">
        <v>11</v>
      </c>
    </row>
    <row r="132" spans="1:32" s="1568" customFormat="1" ht="11.25" customHeight="1">
      <c r="A132" s="917"/>
      <c r="B132" s="1563"/>
      <c r="C132" s="1563"/>
      <c r="D132" s="288"/>
      <c r="K132" s="1087"/>
      <c r="L132" s="1563"/>
      <c r="M132" s="1563"/>
      <c r="N132" s="1087"/>
      <c r="O132" s="1087"/>
      <c r="P132" s="1087"/>
      <c r="Q132" s="1087"/>
      <c r="R132" s="1563"/>
      <c r="S132" s="1087"/>
      <c r="T132" s="1087"/>
      <c r="U132" s="481"/>
      <c r="V132" s="1087"/>
      <c r="W132" s="1087"/>
      <c r="X132" s="1087"/>
      <c r="Y132" s="1087"/>
      <c r="Z132" s="1087"/>
      <c r="AA132" s="1559"/>
      <c r="AB132" s="503"/>
      <c r="AC132" s="503"/>
      <c r="AD132" s="503"/>
      <c r="AE132" s="503"/>
      <c r="AF132" s="1568">
        <v>11</v>
      </c>
    </row>
    <row r="133" spans="1:32" s="1568" customFormat="1" ht="11.25" customHeight="1">
      <c r="A133" s="917"/>
      <c r="B133" s="1563"/>
      <c r="C133" s="1563"/>
      <c r="D133" s="288"/>
      <c r="K133" s="1087"/>
      <c r="L133" s="1563"/>
      <c r="M133" s="1563"/>
      <c r="N133" s="1087"/>
      <c r="O133" s="1087"/>
      <c r="P133" s="1087"/>
      <c r="Q133" s="1087"/>
      <c r="R133" s="1563"/>
      <c r="S133" s="1087"/>
      <c r="T133" s="1087"/>
      <c r="U133" s="481"/>
      <c r="V133" s="1087"/>
      <c r="W133" s="1087"/>
      <c r="X133" s="1087"/>
      <c r="Y133" s="1087"/>
      <c r="Z133" s="1087"/>
      <c r="AA133" s="1559"/>
      <c r="AB133" s="503"/>
      <c r="AC133" s="503"/>
      <c r="AD133" s="503"/>
      <c r="AE133" s="503"/>
      <c r="AF133" s="1568">
        <v>11</v>
      </c>
    </row>
    <row r="134" spans="1:32" s="1568" customFormat="1" ht="11.25" customHeight="1">
      <c r="A134" s="917"/>
      <c r="B134" s="1563"/>
      <c r="C134" s="1563"/>
      <c r="D134" s="288"/>
      <c r="K134" s="1087"/>
      <c r="L134" s="1563"/>
      <c r="M134" s="1563"/>
      <c r="N134" s="1087"/>
      <c r="O134" s="1087"/>
      <c r="P134" s="1087"/>
      <c r="Q134" s="1087"/>
      <c r="R134" s="1563"/>
      <c r="S134" s="1087"/>
      <c r="T134" s="1087"/>
      <c r="U134" s="481"/>
      <c r="V134" s="1087"/>
      <c r="W134" s="1087"/>
      <c r="X134" s="1087"/>
      <c r="Y134" s="1087"/>
      <c r="Z134" s="1087"/>
      <c r="AA134" s="1559"/>
      <c r="AB134" s="503"/>
      <c r="AC134" s="503"/>
      <c r="AD134" s="503"/>
      <c r="AE134" s="503"/>
      <c r="AF134" s="1568">
        <v>11</v>
      </c>
    </row>
    <row r="135" spans="1:32" s="1568" customFormat="1" ht="11.25" customHeight="1">
      <c r="A135" s="917"/>
      <c r="B135" s="1563"/>
      <c r="C135" s="1563"/>
      <c r="D135" s="288"/>
      <c r="K135" s="1087"/>
      <c r="L135" s="1563"/>
      <c r="M135" s="1563"/>
      <c r="N135" s="1087"/>
      <c r="O135" s="1087"/>
      <c r="P135" s="1087"/>
      <c r="Q135" s="1087"/>
      <c r="R135" s="1563"/>
      <c r="S135" s="1087"/>
      <c r="T135" s="1087"/>
      <c r="U135" s="481"/>
      <c r="V135" s="1087"/>
      <c r="W135" s="1087"/>
      <c r="X135" s="1087"/>
      <c r="Y135" s="1087"/>
      <c r="Z135" s="1087"/>
      <c r="AA135" s="1559"/>
      <c r="AB135" s="503"/>
      <c r="AC135" s="503"/>
      <c r="AD135" s="503"/>
      <c r="AE135" s="503"/>
      <c r="AF135" s="1568">
        <v>11</v>
      </c>
    </row>
    <row r="136" spans="1:32" s="1568" customFormat="1" ht="11.25" customHeight="1">
      <c r="A136" s="917"/>
      <c r="B136" s="1563"/>
      <c r="C136" s="1563"/>
      <c r="D136" s="288"/>
      <c r="K136" s="1087"/>
      <c r="L136" s="1563"/>
      <c r="M136" s="1563"/>
      <c r="N136" s="1087"/>
      <c r="O136" s="1087"/>
      <c r="P136" s="1087"/>
      <c r="Q136" s="1087"/>
      <c r="R136" s="1563"/>
      <c r="S136" s="1087"/>
      <c r="T136" s="1087"/>
      <c r="U136" s="481"/>
      <c r="V136" s="1087"/>
      <c r="W136" s="1087"/>
      <c r="X136" s="1087"/>
      <c r="Y136" s="1087"/>
      <c r="Z136" s="1087"/>
      <c r="AA136" s="1559"/>
      <c r="AB136" s="503"/>
      <c r="AC136" s="503"/>
      <c r="AD136" s="503"/>
      <c r="AE136" s="503"/>
      <c r="AF136" s="1568">
        <v>11</v>
      </c>
    </row>
    <row r="137" spans="1:32" s="1568" customFormat="1" ht="11.25" customHeight="1">
      <c r="A137" s="917"/>
      <c r="B137" s="1563"/>
      <c r="C137" s="1563"/>
      <c r="D137" s="288"/>
      <c r="K137" s="1087"/>
      <c r="L137" s="1563"/>
      <c r="M137" s="1563"/>
      <c r="N137" s="1087"/>
      <c r="O137" s="1087"/>
      <c r="P137" s="1087"/>
      <c r="Q137" s="1087"/>
      <c r="R137" s="1563"/>
      <c r="S137" s="1087"/>
      <c r="T137" s="1087"/>
      <c r="U137" s="481"/>
      <c r="V137" s="1087"/>
      <c r="W137" s="1087"/>
      <c r="X137" s="1087"/>
      <c r="Y137" s="1087"/>
      <c r="Z137" s="1087"/>
      <c r="AA137" s="1559"/>
      <c r="AB137" s="503"/>
      <c r="AC137" s="503"/>
      <c r="AD137" s="503"/>
      <c r="AE137" s="503"/>
      <c r="AF137" s="1568">
        <v>11</v>
      </c>
    </row>
    <row r="138" spans="1:32" s="1568" customFormat="1" ht="11.25" customHeight="1">
      <c r="A138" s="917"/>
      <c r="B138" s="1563"/>
      <c r="C138" s="1563"/>
      <c r="D138" s="288"/>
      <c r="K138" s="1087"/>
      <c r="L138" s="1563"/>
      <c r="M138" s="1563"/>
      <c r="N138" s="1087"/>
      <c r="O138" s="1087"/>
      <c r="P138" s="1087"/>
      <c r="Q138" s="1087"/>
      <c r="R138" s="1563"/>
      <c r="S138" s="1087"/>
      <c r="T138" s="1087"/>
      <c r="U138" s="481"/>
      <c r="V138" s="1087"/>
      <c r="W138" s="1087"/>
      <c r="X138" s="1087"/>
      <c r="Y138" s="1087"/>
      <c r="Z138" s="1087"/>
      <c r="AA138" s="1559"/>
      <c r="AB138" s="503"/>
      <c r="AC138" s="503"/>
      <c r="AD138" s="503"/>
      <c r="AE138" s="503"/>
      <c r="AF138" s="1568">
        <v>11</v>
      </c>
    </row>
    <row r="139" spans="1:32" s="1568" customFormat="1" ht="11.25" customHeight="1">
      <c r="A139" s="917"/>
      <c r="B139" s="1563"/>
      <c r="C139" s="1563"/>
      <c r="D139" s="288"/>
      <c r="K139" s="1087"/>
      <c r="L139" s="1563"/>
      <c r="M139" s="1563"/>
      <c r="N139" s="1087"/>
      <c r="O139" s="1087"/>
      <c r="P139" s="1087"/>
      <c r="Q139" s="1087"/>
      <c r="R139" s="1563"/>
      <c r="S139" s="1087"/>
      <c r="T139" s="1087"/>
      <c r="U139" s="481"/>
      <c r="V139" s="1087"/>
      <c r="W139" s="1087"/>
      <c r="X139" s="1087"/>
      <c r="Y139" s="1087"/>
      <c r="Z139" s="1087"/>
      <c r="AA139" s="1559"/>
      <c r="AB139" s="503"/>
      <c r="AC139" s="503"/>
      <c r="AD139" s="503"/>
      <c r="AE139" s="503"/>
      <c r="AF139" s="1568">
        <v>11</v>
      </c>
    </row>
    <row r="140" spans="1:32" s="1568" customFormat="1" ht="11.25" customHeight="1">
      <c r="A140" s="917"/>
      <c r="B140" s="1563"/>
      <c r="C140" s="1563"/>
      <c r="D140" s="288"/>
      <c r="K140" s="1087"/>
      <c r="L140" s="1563"/>
      <c r="M140" s="1563"/>
      <c r="N140" s="1087"/>
      <c r="O140" s="1087"/>
      <c r="P140" s="1087"/>
      <c r="Q140" s="1087"/>
      <c r="R140" s="1563"/>
      <c r="S140" s="1087"/>
      <c r="T140" s="1087"/>
      <c r="U140" s="481"/>
      <c r="V140" s="1087"/>
      <c r="W140" s="1087"/>
      <c r="X140" s="1087"/>
      <c r="Y140" s="1087"/>
      <c r="Z140" s="1087"/>
      <c r="AA140" s="1559"/>
      <c r="AB140" s="503"/>
      <c r="AC140" s="503"/>
      <c r="AD140" s="503"/>
      <c r="AE140" s="503"/>
      <c r="AF140" s="1568">
        <v>11</v>
      </c>
    </row>
    <row r="141" spans="1:32" s="1568" customFormat="1" ht="11.25" customHeight="1">
      <c r="A141" s="917"/>
      <c r="B141" s="1563"/>
      <c r="C141" s="1563"/>
      <c r="D141" s="288"/>
      <c r="K141" s="1087"/>
      <c r="L141" s="1563"/>
      <c r="M141" s="1563"/>
      <c r="N141" s="1087"/>
      <c r="O141" s="1087"/>
      <c r="P141" s="1087"/>
      <c r="Q141" s="1087"/>
      <c r="R141" s="1563"/>
      <c r="S141" s="1087"/>
      <c r="T141" s="1087"/>
      <c r="U141" s="481"/>
      <c r="V141" s="1087"/>
      <c r="W141" s="1087"/>
      <c r="X141" s="1087"/>
      <c r="Y141" s="1087"/>
      <c r="Z141" s="1087"/>
      <c r="AA141" s="1559"/>
      <c r="AB141" s="503"/>
      <c r="AC141" s="503"/>
      <c r="AD141" s="503"/>
      <c r="AE141" s="503"/>
      <c r="AF141" s="1568">
        <v>11</v>
      </c>
    </row>
    <row r="142" spans="1:32" s="1568" customFormat="1" ht="11.25" customHeight="1">
      <c r="A142" s="917"/>
      <c r="B142" s="1563"/>
      <c r="C142" s="1563"/>
      <c r="D142" s="288"/>
      <c r="K142" s="1087"/>
      <c r="L142" s="1563"/>
      <c r="M142" s="1563"/>
      <c r="N142" s="1087"/>
      <c r="O142" s="1087"/>
      <c r="P142" s="1087"/>
      <c r="Q142" s="1087"/>
      <c r="R142" s="1563"/>
      <c r="S142" s="1087"/>
      <c r="T142" s="1087"/>
      <c r="U142" s="481"/>
      <c r="V142" s="1087"/>
      <c r="W142" s="1087"/>
      <c r="X142" s="1087"/>
      <c r="Y142" s="1087"/>
      <c r="Z142" s="1087"/>
      <c r="AA142" s="1559"/>
      <c r="AB142" s="503"/>
      <c r="AC142" s="503"/>
      <c r="AD142" s="503"/>
      <c r="AE142" s="503"/>
      <c r="AF142" s="1568">
        <v>11</v>
      </c>
    </row>
    <row r="143" spans="1:32" s="1568" customFormat="1" ht="11.25" customHeight="1">
      <c r="A143" s="917"/>
      <c r="B143" s="1563"/>
      <c r="C143" s="1563"/>
      <c r="D143" s="288"/>
      <c r="K143" s="1087"/>
      <c r="L143" s="1563"/>
      <c r="M143" s="1563"/>
      <c r="N143" s="1087"/>
      <c r="O143" s="1087"/>
      <c r="P143" s="1087"/>
      <c r="Q143" s="1087"/>
      <c r="R143" s="1563"/>
      <c r="S143" s="1087"/>
      <c r="T143" s="1087"/>
      <c r="U143" s="481"/>
      <c r="V143" s="1087"/>
      <c r="W143" s="1087"/>
      <c r="X143" s="1087"/>
      <c r="Y143" s="1087"/>
      <c r="Z143" s="1087"/>
      <c r="AA143" s="1559"/>
      <c r="AB143" s="503"/>
      <c r="AC143" s="503"/>
      <c r="AD143" s="503"/>
      <c r="AE143" s="503"/>
      <c r="AF143" s="1568">
        <v>11</v>
      </c>
    </row>
    <row r="144" spans="1:32" s="1568" customFormat="1" ht="11.25" customHeight="1">
      <c r="A144" s="917"/>
      <c r="B144" s="1563"/>
      <c r="C144" s="1563"/>
      <c r="D144" s="288"/>
      <c r="K144" s="1087"/>
      <c r="L144" s="1563"/>
      <c r="M144" s="1563"/>
      <c r="N144" s="1087"/>
      <c r="O144" s="1087"/>
      <c r="P144" s="1087"/>
      <c r="Q144" s="1087"/>
      <c r="R144" s="1563"/>
      <c r="S144" s="1087"/>
      <c r="T144" s="1087"/>
      <c r="U144" s="481"/>
      <c r="V144" s="1087"/>
      <c r="W144" s="1087"/>
      <c r="X144" s="1087"/>
      <c r="Y144" s="1087"/>
      <c r="Z144" s="1087"/>
      <c r="AA144" s="1559"/>
      <c r="AB144" s="503"/>
      <c r="AC144" s="503"/>
      <c r="AD144" s="503"/>
      <c r="AE144" s="503"/>
      <c r="AF144" s="1568">
        <v>11</v>
      </c>
    </row>
    <row r="145" spans="1:32" s="1568" customFormat="1" ht="11.25" customHeight="1">
      <c r="A145" s="917"/>
      <c r="B145" s="1563"/>
      <c r="C145" s="1563"/>
      <c r="D145" s="288"/>
      <c r="K145" s="1087"/>
      <c r="L145" s="1563"/>
      <c r="M145" s="1563"/>
      <c r="N145" s="1087"/>
      <c r="O145" s="1087"/>
      <c r="P145" s="1087"/>
      <c r="Q145" s="1087"/>
      <c r="R145" s="1563"/>
      <c r="S145" s="1087"/>
      <c r="T145" s="1087"/>
      <c r="U145" s="481"/>
      <c r="V145" s="1087"/>
      <c r="W145" s="1087"/>
      <c r="X145" s="1087"/>
      <c r="Y145" s="1087"/>
      <c r="Z145" s="1087"/>
      <c r="AA145" s="1559"/>
      <c r="AB145" s="503"/>
      <c r="AC145" s="503"/>
      <c r="AD145" s="503"/>
      <c r="AE145" s="503"/>
      <c r="AF145" s="1568">
        <v>11</v>
      </c>
    </row>
    <row r="146" spans="1:32" s="1568" customFormat="1" ht="11.25" customHeight="1">
      <c r="A146" s="917"/>
      <c r="B146" s="1563"/>
      <c r="C146" s="1563"/>
      <c r="D146" s="288"/>
      <c r="K146" s="1087"/>
      <c r="L146" s="1563"/>
      <c r="M146" s="1563"/>
      <c r="N146" s="1087"/>
      <c r="O146" s="1087"/>
      <c r="P146" s="1087"/>
      <c r="Q146" s="1087"/>
      <c r="R146" s="1563"/>
      <c r="S146" s="1087"/>
      <c r="T146" s="1087"/>
      <c r="U146" s="481"/>
      <c r="V146" s="1087"/>
      <c r="W146" s="1087"/>
      <c r="X146" s="1087"/>
      <c r="Y146" s="1087"/>
      <c r="Z146" s="1087"/>
      <c r="AA146" s="1559"/>
      <c r="AB146" s="503"/>
      <c r="AC146" s="503"/>
      <c r="AD146" s="503"/>
      <c r="AE146" s="503"/>
      <c r="AF146" s="1568">
        <v>11</v>
      </c>
    </row>
    <row r="147" spans="1:32" s="1568" customFormat="1" ht="11.25" customHeight="1">
      <c r="A147" s="917"/>
      <c r="B147" s="1563"/>
      <c r="C147" s="1563"/>
      <c r="D147" s="288"/>
      <c r="K147" s="1087"/>
      <c r="L147" s="1563"/>
      <c r="M147" s="1563"/>
      <c r="N147" s="1087"/>
      <c r="O147" s="1087"/>
      <c r="P147" s="1087"/>
      <c r="Q147" s="1087"/>
      <c r="R147" s="1563"/>
      <c r="S147" s="1087"/>
      <c r="T147" s="1087"/>
      <c r="U147" s="481"/>
      <c r="V147" s="1087"/>
      <c r="W147" s="1087"/>
      <c r="X147" s="1087"/>
      <c r="Y147" s="1087"/>
      <c r="Z147" s="1087"/>
      <c r="AA147" s="1559"/>
      <c r="AB147" s="503"/>
      <c r="AC147" s="503"/>
      <c r="AD147" s="503"/>
      <c r="AE147" s="503"/>
      <c r="AF147" s="1568">
        <v>11</v>
      </c>
    </row>
    <row r="148" spans="1:32" s="1568" customFormat="1" ht="11.25" customHeight="1">
      <c r="A148" s="917"/>
      <c r="B148" s="1563"/>
      <c r="C148" s="1563"/>
      <c r="D148" s="288"/>
      <c r="K148" s="1087"/>
      <c r="L148" s="1563"/>
      <c r="M148" s="1563"/>
      <c r="N148" s="1087"/>
      <c r="O148" s="1087"/>
      <c r="P148" s="1087"/>
      <c r="Q148" s="1087"/>
      <c r="R148" s="1563"/>
      <c r="S148" s="1087"/>
      <c r="T148" s="1087"/>
      <c r="U148" s="481"/>
      <c r="V148" s="1087"/>
      <c r="W148" s="1087"/>
      <c r="X148" s="1087"/>
      <c r="Y148" s="1087"/>
      <c r="Z148" s="1087"/>
      <c r="AA148" s="1559"/>
      <c r="AB148" s="503"/>
      <c r="AC148" s="503"/>
      <c r="AD148" s="503"/>
      <c r="AE148" s="503"/>
      <c r="AF148" s="1568">
        <v>11</v>
      </c>
    </row>
    <row r="149" spans="1:32" s="1568" customFormat="1" ht="11.25" customHeight="1">
      <c r="A149" s="917"/>
      <c r="B149" s="1563"/>
      <c r="C149" s="1563"/>
      <c r="D149" s="288"/>
      <c r="K149" s="1087"/>
      <c r="L149" s="1563"/>
      <c r="M149" s="1563"/>
      <c r="N149" s="1087"/>
      <c r="O149" s="1087"/>
      <c r="P149" s="1087"/>
      <c r="Q149" s="1087"/>
      <c r="R149" s="1563"/>
      <c r="S149" s="1087"/>
      <c r="T149" s="1087"/>
      <c r="U149" s="481"/>
      <c r="V149" s="1087"/>
      <c r="W149" s="1087"/>
      <c r="X149" s="1087"/>
      <c r="Y149" s="1087"/>
      <c r="Z149" s="1087"/>
      <c r="AA149" s="1559"/>
      <c r="AB149" s="503"/>
      <c r="AC149" s="503"/>
      <c r="AD149" s="503"/>
      <c r="AE149" s="503"/>
      <c r="AF149" s="1568">
        <v>11</v>
      </c>
    </row>
    <row r="150" spans="1:32" s="1568" customFormat="1" ht="11.25" customHeight="1">
      <c r="A150" s="917"/>
      <c r="B150" s="1563"/>
      <c r="C150" s="1563"/>
      <c r="D150" s="288"/>
      <c r="K150" s="1087"/>
      <c r="L150" s="1563"/>
      <c r="M150" s="1563"/>
      <c r="N150" s="1087"/>
      <c r="O150" s="1087"/>
      <c r="P150" s="1087"/>
      <c r="Q150" s="1087"/>
      <c r="R150" s="1563"/>
      <c r="S150" s="1087"/>
      <c r="T150" s="1087"/>
      <c r="U150" s="481"/>
      <c r="V150" s="1087"/>
      <c r="W150" s="1087"/>
      <c r="X150" s="1087"/>
      <c r="Y150" s="1087"/>
      <c r="Z150" s="1087"/>
      <c r="AA150" s="1559"/>
      <c r="AB150" s="503"/>
      <c r="AC150" s="503"/>
      <c r="AD150" s="503"/>
      <c r="AE150" s="503"/>
      <c r="AF150" s="1568">
        <v>11</v>
      </c>
    </row>
    <row r="151" spans="1:32" s="1568" customFormat="1" ht="11.25" customHeight="1">
      <c r="A151" s="917"/>
      <c r="B151" s="1563"/>
      <c r="C151" s="1563"/>
      <c r="D151" s="288"/>
      <c r="K151" s="1087"/>
      <c r="L151" s="1563"/>
      <c r="M151" s="1563"/>
      <c r="N151" s="1087"/>
      <c r="O151" s="1087"/>
      <c r="P151" s="1087"/>
      <c r="Q151" s="1087"/>
      <c r="R151" s="1563"/>
      <c r="S151" s="1087"/>
      <c r="T151" s="1087"/>
      <c r="U151" s="481"/>
      <c r="V151" s="1087"/>
      <c r="W151" s="1087"/>
      <c r="X151" s="1087"/>
      <c r="Y151" s="1087"/>
      <c r="Z151" s="1087"/>
      <c r="AA151" s="1559"/>
      <c r="AB151" s="503"/>
      <c r="AC151" s="503"/>
      <c r="AD151" s="503"/>
      <c r="AE151" s="503"/>
      <c r="AF151" s="1568">
        <v>11</v>
      </c>
    </row>
    <row r="152" spans="1:32" s="1568" customFormat="1" ht="11.25" customHeight="1">
      <c r="A152" s="917"/>
      <c r="B152" s="1563"/>
      <c r="C152" s="1563"/>
      <c r="D152" s="288"/>
      <c r="K152" s="1087"/>
      <c r="L152" s="1563"/>
      <c r="M152" s="1563"/>
      <c r="N152" s="1087"/>
      <c r="O152" s="1087"/>
      <c r="P152" s="1087"/>
      <c r="Q152" s="1087"/>
      <c r="R152" s="1563"/>
      <c r="S152" s="1087"/>
      <c r="T152" s="1087"/>
      <c r="U152" s="481"/>
      <c r="V152" s="1087"/>
      <c r="W152" s="1087"/>
      <c r="X152" s="1087"/>
      <c r="Y152" s="1087"/>
      <c r="Z152" s="1087"/>
      <c r="AA152" s="1559"/>
      <c r="AB152" s="503"/>
      <c r="AC152" s="503"/>
      <c r="AD152" s="503"/>
      <c r="AE152" s="503"/>
      <c r="AF152" s="1568">
        <v>11</v>
      </c>
    </row>
    <row r="153" spans="1:32" s="1568" customFormat="1" ht="11.25" customHeight="1">
      <c r="A153" s="917"/>
      <c r="B153" s="1563"/>
      <c r="C153" s="1563"/>
      <c r="D153" s="288"/>
      <c r="K153" s="1087"/>
      <c r="L153" s="1563"/>
      <c r="M153" s="1563"/>
      <c r="N153" s="1087"/>
      <c r="O153" s="1087"/>
      <c r="P153" s="1087"/>
      <c r="Q153" s="1087"/>
      <c r="R153" s="1563"/>
      <c r="S153" s="1087"/>
      <c r="T153" s="1087"/>
      <c r="U153" s="481"/>
      <c r="V153" s="1087"/>
      <c r="W153" s="1087"/>
      <c r="X153" s="1087"/>
      <c r="Y153" s="1087"/>
      <c r="Z153" s="1087"/>
      <c r="AA153" s="1559"/>
      <c r="AB153" s="503"/>
      <c r="AC153" s="503"/>
      <c r="AD153" s="503"/>
      <c r="AE153" s="503"/>
      <c r="AF153" s="1568">
        <v>11</v>
      </c>
    </row>
    <row r="154" spans="1:32" s="1568" customFormat="1" ht="11.25" customHeight="1">
      <c r="A154" s="917"/>
      <c r="B154" s="1563"/>
      <c r="C154" s="1563"/>
      <c r="D154" s="288"/>
      <c r="K154" s="1087"/>
      <c r="L154" s="1563"/>
      <c r="M154" s="1563"/>
      <c r="N154" s="1087"/>
      <c r="O154" s="1087"/>
      <c r="P154" s="1087"/>
      <c r="Q154" s="1087"/>
      <c r="R154" s="1563"/>
      <c r="S154" s="1087"/>
      <c r="T154" s="1087"/>
      <c r="U154" s="481"/>
      <c r="V154" s="1087"/>
      <c r="W154" s="1087"/>
      <c r="X154" s="1087"/>
      <c r="Y154" s="1087"/>
      <c r="Z154" s="1087"/>
      <c r="AA154" s="1559"/>
      <c r="AB154" s="503"/>
      <c r="AC154" s="503"/>
      <c r="AD154" s="503"/>
      <c r="AE154" s="503"/>
      <c r="AF154" s="1568">
        <v>11</v>
      </c>
    </row>
    <row r="155" spans="1:32" s="1568" customFormat="1" ht="11.25" customHeight="1">
      <c r="A155" s="917"/>
      <c r="B155" s="1563"/>
      <c r="C155" s="1563"/>
      <c r="D155" s="288"/>
      <c r="K155" s="1087"/>
      <c r="L155" s="1563"/>
      <c r="M155" s="1563"/>
      <c r="N155" s="1087"/>
      <c r="O155" s="1087"/>
      <c r="P155" s="1087"/>
      <c r="Q155" s="1087"/>
      <c r="R155" s="1563"/>
      <c r="S155" s="1087"/>
      <c r="T155" s="1087"/>
      <c r="U155" s="481"/>
      <c r="V155" s="1087"/>
      <c r="W155" s="1087"/>
      <c r="X155" s="1087"/>
      <c r="Y155" s="1087"/>
      <c r="Z155" s="1087"/>
      <c r="AA155" s="1559"/>
      <c r="AB155" s="503"/>
      <c r="AC155" s="503"/>
      <c r="AD155" s="503"/>
      <c r="AE155" s="503"/>
      <c r="AF155" s="1568">
        <v>11</v>
      </c>
    </row>
    <row r="156" spans="1:32" s="1568" customFormat="1" ht="11.25" customHeight="1">
      <c r="A156" s="917"/>
      <c r="B156" s="1563"/>
      <c r="C156" s="1563"/>
      <c r="D156" s="288"/>
      <c r="K156" s="1087"/>
      <c r="L156" s="1563"/>
      <c r="M156" s="1563"/>
      <c r="N156" s="1087"/>
      <c r="O156" s="1087"/>
      <c r="P156" s="1087"/>
      <c r="Q156" s="1087"/>
      <c r="R156" s="1563"/>
      <c r="S156" s="1087"/>
      <c r="T156" s="1087"/>
      <c r="U156" s="481"/>
      <c r="V156" s="1087"/>
      <c r="W156" s="1087"/>
      <c r="X156" s="1087"/>
      <c r="Y156" s="1087"/>
      <c r="Z156" s="1087"/>
      <c r="AA156" s="1559"/>
      <c r="AB156" s="503"/>
      <c r="AC156" s="503"/>
      <c r="AD156" s="503"/>
      <c r="AE156" s="503"/>
      <c r="AF156" s="1568">
        <v>11</v>
      </c>
    </row>
    <row r="157" spans="1:32" s="1568" customFormat="1" ht="11.25" customHeight="1">
      <c r="A157" s="917"/>
      <c r="B157" s="1563"/>
      <c r="C157" s="1563"/>
      <c r="D157" s="288"/>
      <c r="K157" s="1087"/>
      <c r="L157" s="1563"/>
      <c r="M157" s="1563"/>
      <c r="N157" s="1087"/>
      <c r="O157" s="1087"/>
      <c r="P157" s="1087"/>
      <c r="Q157" s="1087"/>
      <c r="R157" s="1563"/>
      <c r="S157" s="1087"/>
      <c r="T157" s="1087"/>
      <c r="U157" s="481"/>
      <c r="V157" s="1087"/>
      <c r="W157" s="1087"/>
      <c r="X157" s="1087"/>
      <c r="Y157" s="1087"/>
      <c r="Z157" s="1087"/>
      <c r="AA157" s="1559"/>
      <c r="AB157" s="503"/>
      <c r="AC157" s="503"/>
      <c r="AD157" s="503"/>
      <c r="AE157" s="503"/>
      <c r="AF157" s="1568">
        <v>11</v>
      </c>
    </row>
    <row r="158" spans="1:32" s="1568" customFormat="1" ht="11.25" customHeight="1">
      <c r="A158" s="917"/>
      <c r="B158" s="1563"/>
      <c r="C158" s="1563"/>
      <c r="D158" s="288"/>
      <c r="K158" s="1087"/>
      <c r="L158" s="1563"/>
      <c r="M158" s="1563"/>
      <c r="N158" s="1087"/>
      <c r="O158" s="1087"/>
      <c r="P158" s="1087"/>
      <c r="Q158" s="1087"/>
      <c r="R158" s="1563"/>
      <c r="S158" s="1087"/>
      <c r="T158" s="1087"/>
      <c r="U158" s="481"/>
      <c r="V158" s="1087"/>
      <c r="W158" s="1087"/>
      <c r="X158" s="1087"/>
      <c r="Y158" s="1087"/>
      <c r="Z158" s="1087"/>
      <c r="AA158" s="1559"/>
      <c r="AB158" s="503"/>
      <c r="AC158" s="503"/>
      <c r="AD158" s="503"/>
      <c r="AE158" s="503"/>
      <c r="AF158" s="1568">
        <v>11</v>
      </c>
    </row>
    <row r="159" spans="1:32" s="1568" customFormat="1" ht="11.25" customHeight="1">
      <c r="A159" s="917"/>
      <c r="B159" s="1563"/>
      <c r="C159" s="1563"/>
      <c r="D159" s="288"/>
      <c r="K159" s="1087"/>
      <c r="L159" s="1563"/>
      <c r="M159" s="1563"/>
      <c r="N159" s="1087"/>
      <c r="O159" s="1087"/>
      <c r="P159" s="1087"/>
      <c r="Q159" s="1087"/>
      <c r="R159" s="1563"/>
      <c r="S159" s="1087"/>
      <c r="T159" s="1087"/>
      <c r="U159" s="481"/>
      <c r="V159" s="1087"/>
      <c r="W159" s="1087"/>
      <c r="X159" s="1087"/>
      <c r="Y159" s="1087"/>
      <c r="Z159" s="1087"/>
      <c r="AA159" s="1559"/>
      <c r="AB159" s="503"/>
      <c r="AC159" s="503"/>
      <c r="AD159" s="503"/>
      <c r="AE159" s="503"/>
      <c r="AF159" s="1568">
        <v>11</v>
      </c>
    </row>
    <row r="160" spans="1:32" s="1568" customFormat="1" ht="11.25" customHeight="1">
      <c r="A160" s="917"/>
      <c r="B160" s="1563"/>
      <c r="C160" s="1563"/>
      <c r="D160" s="288"/>
      <c r="K160" s="1087"/>
      <c r="L160" s="1563"/>
      <c r="M160" s="1563"/>
      <c r="N160" s="1087"/>
      <c r="O160" s="1087"/>
      <c r="P160" s="1087"/>
      <c r="Q160" s="1087"/>
      <c r="R160" s="1563"/>
      <c r="S160" s="1087"/>
      <c r="T160" s="1087"/>
      <c r="U160" s="481"/>
      <c r="V160" s="1087"/>
      <c r="W160" s="1087"/>
      <c r="X160" s="1087"/>
      <c r="Y160" s="1087"/>
      <c r="Z160" s="1087"/>
      <c r="AA160" s="1559"/>
      <c r="AB160" s="503"/>
      <c r="AC160" s="503"/>
      <c r="AD160" s="503"/>
      <c r="AE160" s="503"/>
      <c r="AF160" s="1568">
        <v>11</v>
      </c>
    </row>
    <row r="161" spans="1:32" s="1568" customFormat="1" ht="11.25" customHeight="1">
      <c r="A161" s="917"/>
      <c r="B161" s="1563"/>
      <c r="C161" s="1563"/>
      <c r="D161" s="288"/>
      <c r="K161" s="1087"/>
      <c r="L161" s="1563"/>
      <c r="M161" s="1563"/>
      <c r="N161" s="1087"/>
      <c r="O161" s="1087"/>
      <c r="P161" s="1087"/>
      <c r="Q161" s="1087"/>
      <c r="R161" s="1563"/>
      <c r="S161" s="1087"/>
      <c r="T161" s="1087"/>
      <c r="U161" s="481"/>
      <c r="V161" s="1087"/>
      <c r="W161" s="1087"/>
      <c r="X161" s="1087"/>
      <c r="Y161" s="1087"/>
      <c r="Z161" s="1087"/>
      <c r="AA161" s="1559"/>
      <c r="AB161" s="503"/>
      <c r="AC161" s="503"/>
      <c r="AD161" s="503"/>
      <c r="AE161" s="503"/>
      <c r="AF161" s="1568">
        <v>11</v>
      </c>
    </row>
    <row r="162" spans="1:32" s="1568" customFormat="1" ht="11.25" customHeight="1">
      <c r="A162" s="917"/>
      <c r="B162" s="1563"/>
      <c r="C162" s="1563"/>
      <c r="D162" s="288"/>
      <c r="K162" s="1087"/>
      <c r="L162" s="1563"/>
      <c r="M162" s="1563"/>
      <c r="N162" s="1087"/>
      <c r="O162" s="1087"/>
      <c r="P162" s="1087"/>
      <c r="Q162" s="1087"/>
      <c r="R162" s="1563"/>
      <c r="S162" s="1087"/>
      <c r="T162" s="1087"/>
      <c r="U162" s="481"/>
      <c r="V162" s="1087"/>
      <c r="W162" s="1087"/>
      <c r="X162" s="1087"/>
      <c r="Y162" s="1087"/>
      <c r="Z162" s="1087"/>
      <c r="AA162" s="1559"/>
      <c r="AB162" s="503"/>
      <c r="AC162" s="503"/>
      <c r="AD162" s="503"/>
      <c r="AE162" s="503"/>
      <c r="AF162" s="1568">
        <v>11</v>
      </c>
    </row>
    <row r="163" spans="1:32" s="1568" customFormat="1" ht="11.25" customHeight="1">
      <c r="A163" s="917"/>
      <c r="B163" s="1563"/>
      <c r="C163" s="1563"/>
      <c r="D163" s="288"/>
      <c r="K163" s="1087"/>
      <c r="L163" s="1563"/>
      <c r="M163" s="1563"/>
      <c r="N163" s="1087"/>
      <c r="O163" s="1087"/>
      <c r="P163" s="1087"/>
      <c r="Q163" s="1087"/>
      <c r="R163" s="1563"/>
      <c r="S163" s="1087"/>
      <c r="T163" s="1087"/>
      <c r="U163" s="481"/>
      <c r="V163" s="1087"/>
      <c r="W163" s="1087"/>
      <c r="X163" s="1087"/>
      <c r="Y163" s="1087"/>
      <c r="Z163" s="1087"/>
      <c r="AA163" s="1559"/>
      <c r="AB163" s="503"/>
      <c r="AC163" s="503"/>
      <c r="AD163" s="503"/>
      <c r="AE163" s="503"/>
      <c r="AF163" s="1568">
        <v>11</v>
      </c>
    </row>
    <row r="164" spans="1:32" s="1568" customFormat="1" ht="11.25" customHeight="1">
      <c r="A164" s="917"/>
      <c r="B164" s="1563"/>
      <c r="C164" s="1563"/>
      <c r="D164" s="288"/>
      <c r="K164" s="1087"/>
      <c r="L164" s="1563"/>
      <c r="M164" s="1563"/>
      <c r="N164" s="1087"/>
      <c r="O164" s="1087"/>
      <c r="P164" s="1087"/>
      <c r="Q164" s="1087"/>
      <c r="R164" s="1563"/>
      <c r="S164" s="1087"/>
      <c r="T164" s="1087"/>
      <c r="U164" s="481"/>
      <c r="V164" s="1087"/>
      <c r="W164" s="1087"/>
      <c r="X164" s="1087"/>
      <c r="Y164" s="1087"/>
      <c r="Z164" s="1087"/>
      <c r="AA164" s="1559"/>
      <c r="AB164" s="503"/>
      <c r="AC164" s="503"/>
      <c r="AD164" s="503"/>
      <c r="AE164" s="503"/>
      <c r="AF164" s="1568">
        <v>11</v>
      </c>
    </row>
    <row r="165" spans="1:32" s="1568" customFormat="1" ht="11.25" customHeight="1">
      <c r="A165" s="917"/>
      <c r="B165" s="1563"/>
      <c r="C165" s="1563"/>
      <c r="D165" s="288"/>
      <c r="K165" s="1087"/>
      <c r="L165" s="1563"/>
      <c r="M165" s="1563"/>
      <c r="N165" s="1087"/>
      <c r="O165" s="1087"/>
      <c r="P165" s="1087"/>
      <c r="Q165" s="1087"/>
      <c r="R165" s="1563"/>
      <c r="S165" s="1087"/>
      <c r="T165" s="1087"/>
      <c r="U165" s="481"/>
      <c r="V165" s="1087"/>
      <c r="W165" s="1087"/>
      <c r="X165" s="1087"/>
      <c r="Y165" s="1087"/>
      <c r="Z165" s="1087"/>
      <c r="AA165" s="1559"/>
      <c r="AB165" s="503"/>
      <c r="AC165" s="503"/>
      <c r="AD165" s="503"/>
      <c r="AE165" s="503"/>
      <c r="AF165" s="1568">
        <v>11</v>
      </c>
    </row>
    <row r="166" spans="1:32" s="1568" customFormat="1" ht="11.25" customHeight="1">
      <c r="A166" s="917"/>
      <c r="B166" s="1563"/>
      <c r="C166" s="1563"/>
      <c r="D166" s="288"/>
      <c r="K166" s="1087"/>
      <c r="L166" s="1563"/>
      <c r="M166" s="1563"/>
      <c r="N166" s="1087"/>
      <c r="O166" s="1087"/>
      <c r="P166" s="1087"/>
      <c r="Q166" s="1087"/>
      <c r="R166" s="1563"/>
      <c r="S166" s="1087"/>
      <c r="T166" s="1087"/>
      <c r="U166" s="481"/>
      <c r="V166" s="1087"/>
      <c r="W166" s="1087"/>
      <c r="X166" s="1087"/>
      <c r="Y166" s="1087"/>
      <c r="Z166" s="1087"/>
      <c r="AA166" s="1559"/>
      <c r="AB166" s="503"/>
      <c r="AC166" s="503"/>
      <c r="AD166" s="503"/>
      <c r="AE166" s="503"/>
      <c r="AF166" s="1568">
        <v>11</v>
      </c>
    </row>
    <row r="167" spans="1:32" s="1568" customFormat="1" ht="11.25" customHeight="1">
      <c r="A167" s="917"/>
      <c r="B167" s="1563"/>
      <c r="C167" s="1563"/>
      <c r="D167" s="288"/>
      <c r="K167" s="1087"/>
      <c r="L167" s="1563"/>
      <c r="M167" s="1563"/>
      <c r="N167" s="1087"/>
      <c r="O167" s="1087"/>
      <c r="P167" s="1087"/>
      <c r="Q167" s="1087"/>
      <c r="R167" s="1563"/>
      <c r="S167" s="1087"/>
      <c r="T167" s="1087"/>
      <c r="U167" s="481"/>
      <c r="V167" s="1087"/>
      <c r="W167" s="1087"/>
      <c r="X167" s="1087"/>
      <c r="Y167" s="1087"/>
      <c r="Z167" s="1087"/>
      <c r="AA167" s="1559"/>
      <c r="AB167" s="503"/>
      <c r="AC167" s="503"/>
      <c r="AD167" s="503"/>
      <c r="AE167" s="503"/>
      <c r="AF167" s="1568">
        <v>11</v>
      </c>
    </row>
    <row r="168" spans="1:32" s="1568" customFormat="1" ht="11.25" customHeight="1">
      <c r="A168" s="917"/>
      <c r="B168" s="1563"/>
      <c r="C168" s="1563"/>
      <c r="D168" s="288"/>
      <c r="K168" s="1087"/>
      <c r="L168" s="1563"/>
      <c r="M168" s="1563"/>
      <c r="N168" s="1087"/>
      <c r="O168" s="1087"/>
      <c r="P168" s="1087"/>
      <c r="Q168" s="1087"/>
      <c r="R168" s="1563"/>
      <c r="S168" s="1087"/>
      <c r="T168" s="1087"/>
      <c r="U168" s="481"/>
      <c r="V168" s="1087"/>
      <c r="W168" s="1087"/>
      <c r="X168" s="1087"/>
      <c r="Y168" s="1087"/>
      <c r="Z168" s="1087"/>
      <c r="AA168" s="1559"/>
      <c r="AB168" s="503"/>
      <c r="AC168" s="503"/>
      <c r="AD168" s="503"/>
      <c r="AE168" s="503"/>
      <c r="AF168" s="1568">
        <v>11</v>
      </c>
    </row>
    <row r="169" spans="1:32" s="1568" customFormat="1" ht="11.25" customHeight="1">
      <c r="A169" s="917"/>
      <c r="B169" s="1563"/>
      <c r="C169" s="1563"/>
      <c r="D169" s="288"/>
      <c r="K169" s="1087"/>
      <c r="L169" s="1563"/>
      <c r="M169" s="1563"/>
      <c r="N169" s="1087"/>
      <c r="O169" s="1087"/>
      <c r="P169" s="1087"/>
      <c r="Q169" s="1087"/>
      <c r="R169" s="1563"/>
      <c r="S169" s="1087"/>
      <c r="T169" s="1087"/>
      <c r="U169" s="481"/>
      <c r="V169" s="1087"/>
      <c r="W169" s="1087"/>
      <c r="X169" s="1087"/>
      <c r="Y169" s="1087"/>
      <c r="Z169" s="1087"/>
      <c r="AA169" s="1559"/>
      <c r="AB169" s="503"/>
      <c r="AC169" s="503"/>
      <c r="AD169" s="503"/>
      <c r="AE169" s="503"/>
      <c r="AF169" s="1568">
        <v>11</v>
      </c>
    </row>
    <row r="170" spans="1:32" s="1568" customFormat="1" ht="11.25" customHeight="1">
      <c r="A170" s="917"/>
      <c r="B170" s="1563"/>
      <c r="C170" s="1563"/>
      <c r="D170" s="288"/>
      <c r="K170" s="1087"/>
      <c r="L170" s="1563"/>
      <c r="M170" s="1563"/>
      <c r="N170" s="1087"/>
      <c r="O170" s="1087"/>
      <c r="P170" s="1087"/>
      <c r="Q170" s="1087"/>
      <c r="R170" s="1563"/>
      <c r="S170" s="1087"/>
      <c r="T170" s="1087"/>
      <c r="U170" s="481"/>
      <c r="V170" s="1087"/>
      <c r="W170" s="1087"/>
      <c r="X170" s="1087"/>
      <c r="Y170" s="1087"/>
      <c r="Z170" s="1087"/>
      <c r="AA170" s="1559"/>
      <c r="AB170" s="503"/>
      <c r="AC170" s="503"/>
      <c r="AD170" s="503"/>
      <c r="AE170" s="503"/>
      <c r="AF170" s="1568">
        <v>11</v>
      </c>
    </row>
    <row r="171" spans="1:32" s="1568" customFormat="1" ht="11.25" customHeight="1">
      <c r="A171" s="917"/>
      <c r="B171" s="1563"/>
      <c r="C171" s="1563"/>
      <c r="D171" s="288"/>
      <c r="K171" s="1087"/>
      <c r="L171" s="1563"/>
      <c r="M171" s="1563"/>
      <c r="N171" s="1087"/>
      <c r="O171" s="1087"/>
      <c r="P171" s="1087"/>
      <c r="Q171" s="1087"/>
      <c r="R171" s="1563"/>
      <c r="S171" s="1087"/>
      <c r="T171" s="1087"/>
      <c r="U171" s="481"/>
      <c r="V171" s="1087"/>
      <c r="W171" s="1087"/>
      <c r="X171" s="1087"/>
      <c r="Y171" s="1087"/>
      <c r="Z171" s="1087"/>
      <c r="AA171" s="1559"/>
      <c r="AB171" s="503"/>
      <c r="AC171" s="503"/>
      <c r="AD171" s="503"/>
      <c r="AE171" s="503"/>
      <c r="AF171" s="1568">
        <v>11</v>
      </c>
    </row>
    <row r="172" spans="1:32" s="1568" customFormat="1" ht="11.25" customHeight="1">
      <c r="A172" s="917"/>
      <c r="B172" s="1563"/>
      <c r="C172" s="1563"/>
      <c r="D172" s="288"/>
      <c r="K172" s="1087"/>
      <c r="L172" s="1563"/>
      <c r="M172" s="1563"/>
      <c r="N172" s="1087"/>
      <c r="O172" s="1087"/>
      <c r="P172" s="1087"/>
      <c r="Q172" s="1087"/>
      <c r="R172" s="1563"/>
      <c r="S172" s="1087"/>
      <c r="T172" s="1087"/>
      <c r="U172" s="481"/>
      <c r="V172" s="1087"/>
      <c r="W172" s="1087"/>
      <c r="X172" s="1087"/>
      <c r="Y172" s="1087"/>
      <c r="Z172" s="1087"/>
      <c r="AA172" s="1559"/>
      <c r="AB172" s="503"/>
      <c r="AC172" s="503"/>
      <c r="AD172" s="503"/>
      <c r="AE172" s="503"/>
      <c r="AF172" s="1568">
        <v>11</v>
      </c>
    </row>
    <row r="173" spans="1:32" s="1568" customFormat="1" ht="11.25" customHeight="1">
      <c r="A173" s="917"/>
      <c r="B173" s="1563"/>
      <c r="C173" s="1563"/>
      <c r="D173" s="288"/>
      <c r="K173" s="1087"/>
      <c r="L173" s="1563"/>
      <c r="M173" s="1563"/>
      <c r="N173" s="1087"/>
      <c r="O173" s="1087"/>
      <c r="P173" s="1087"/>
      <c r="Q173" s="1087"/>
      <c r="R173" s="1563"/>
      <c r="S173" s="1087"/>
      <c r="T173" s="1087"/>
      <c r="U173" s="481"/>
      <c r="V173" s="1087"/>
      <c r="W173" s="1087"/>
      <c r="X173" s="1087"/>
      <c r="Y173" s="1087"/>
      <c r="Z173" s="1087"/>
      <c r="AA173" s="1559"/>
      <c r="AB173" s="503"/>
      <c r="AC173" s="503"/>
      <c r="AD173" s="503"/>
      <c r="AE173" s="503"/>
      <c r="AF173" s="1568">
        <v>11</v>
      </c>
    </row>
    <row r="174" spans="1:32" s="1568" customFormat="1" ht="11.25" customHeight="1">
      <c r="A174" s="917"/>
      <c r="B174" s="1563"/>
      <c r="C174" s="1563"/>
      <c r="D174" s="288"/>
      <c r="K174" s="1087"/>
      <c r="L174" s="1563"/>
      <c r="M174" s="1563"/>
      <c r="N174" s="1087"/>
      <c r="O174" s="1087"/>
      <c r="P174" s="1087"/>
      <c r="Q174" s="1087"/>
      <c r="R174" s="1563"/>
      <c r="S174" s="1087"/>
      <c r="T174" s="1087"/>
      <c r="U174" s="481"/>
      <c r="V174" s="1087"/>
      <c r="W174" s="1087"/>
      <c r="X174" s="1087"/>
      <c r="Y174" s="1087"/>
      <c r="Z174" s="1087"/>
      <c r="AA174" s="1559"/>
      <c r="AB174" s="503"/>
      <c r="AC174" s="503"/>
      <c r="AD174" s="503"/>
      <c r="AE174" s="503"/>
      <c r="AF174" s="1568">
        <v>11</v>
      </c>
    </row>
    <row r="175" spans="1:32" s="1568" customFormat="1" ht="11.25" customHeight="1">
      <c r="A175" s="917"/>
      <c r="B175" s="1563"/>
      <c r="C175" s="1563"/>
      <c r="D175" s="288"/>
      <c r="K175" s="1087"/>
      <c r="L175" s="1563"/>
      <c r="M175" s="1563"/>
      <c r="N175" s="1087"/>
      <c r="O175" s="1087"/>
      <c r="P175" s="1087"/>
      <c r="Q175" s="1087"/>
      <c r="R175" s="1563"/>
      <c r="S175" s="1087"/>
      <c r="T175" s="1087"/>
      <c r="U175" s="481"/>
      <c r="V175" s="1087"/>
      <c r="W175" s="1087"/>
      <c r="X175" s="1087"/>
      <c r="Y175" s="1087"/>
      <c r="Z175" s="1087"/>
      <c r="AA175" s="1559"/>
      <c r="AB175" s="503"/>
      <c r="AC175" s="503"/>
      <c r="AD175" s="503"/>
      <c r="AE175" s="503"/>
      <c r="AF175" s="1568">
        <v>11</v>
      </c>
    </row>
    <row r="176" spans="1:32" s="1568" customFormat="1" ht="11.25" customHeight="1">
      <c r="A176" s="917"/>
      <c r="B176" s="1563"/>
      <c r="C176" s="1563"/>
      <c r="D176" s="288"/>
      <c r="K176" s="1087"/>
      <c r="L176" s="1563"/>
      <c r="M176" s="1563"/>
      <c r="N176" s="1087"/>
      <c r="O176" s="1087"/>
      <c r="P176" s="1087"/>
      <c r="Q176" s="1087"/>
      <c r="R176" s="1563"/>
      <c r="S176" s="1087"/>
      <c r="T176" s="1087"/>
      <c r="U176" s="481"/>
      <c r="V176" s="1087"/>
      <c r="W176" s="1087"/>
      <c r="X176" s="1087"/>
      <c r="Y176" s="1087"/>
      <c r="Z176" s="1087"/>
      <c r="AA176" s="1559"/>
      <c r="AB176" s="503"/>
      <c r="AC176" s="503"/>
      <c r="AD176" s="503"/>
      <c r="AE176" s="503"/>
      <c r="AF176" s="1568">
        <v>11</v>
      </c>
    </row>
    <row r="177" spans="1:32" s="1568" customFormat="1" ht="11.25" customHeight="1">
      <c r="A177" s="917"/>
      <c r="B177" s="1563"/>
      <c r="C177" s="1563"/>
      <c r="D177" s="288"/>
      <c r="K177" s="1087"/>
      <c r="L177" s="1563"/>
      <c r="M177" s="1563"/>
      <c r="N177" s="1087"/>
      <c r="O177" s="1087"/>
      <c r="P177" s="1087"/>
      <c r="Q177" s="1087"/>
      <c r="R177" s="1563"/>
      <c r="S177" s="1087"/>
      <c r="T177" s="1087"/>
      <c r="U177" s="481"/>
      <c r="V177" s="1087"/>
      <c r="W177" s="1087"/>
      <c r="X177" s="1087"/>
      <c r="Y177" s="1087"/>
      <c r="Z177" s="1087"/>
      <c r="AA177" s="1559"/>
      <c r="AB177" s="503"/>
      <c r="AC177" s="503"/>
      <c r="AD177" s="503"/>
      <c r="AE177" s="503"/>
      <c r="AF177" s="1568">
        <v>11</v>
      </c>
    </row>
    <row r="178" spans="1:32" s="1568" customFormat="1" ht="11.25" customHeight="1">
      <c r="A178" s="917"/>
      <c r="B178" s="1563"/>
      <c r="C178" s="1563"/>
      <c r="D178" s="288"/>
      <c r="K178" s="1087"/>
      <c r="L178" s="1563"/>
      <c r="M178" s="1563"/>
      <c r="N178" s="1087"/>
      <c r="O178" s="1087"/>
      <c r="P178" s="1087"/>
      <c r="Q178" s="1087"/>
      <c r="R178" s="1563"/>
      <c r="S178" s="1087"/>
      <c r="T178" s="1087"/>
      <c r="U178" s="481"/>
      <c r="V178" s="1087"/>
      <c r="W178" s="1087"/>
      <c r="X178" s="1087"/>
      <c r="Y178" s="1087"/>
      <c r="Z178" s="1087"/>
      <c r="AA178" s="1559"/>
      <c r="AB178" s="503"/>
      <c r="AC178" s="503"/>
      <c r="AD178" s="503"/>
      <c r="AE178" s="503"/>
      <c r="AF178" s="1568">
        <v>11</v>
      </c>
    </row>
    <row r="179" spans="1:32" s="1568" customFormat="1" ht="11.25" customHeight="1">
      <c r="A179" s="917"/>
      <c r="B179" s="1563"/>
      <c r="C179" s="1563"/>
      <c r="D179" s="288"/>
      <c r="K179" s="1087"/>
      <c r="L179" s="1563"/>
      <c r="M179" s="1563"/>
      <c r="N179" s="1087"/>
      <c r="O179" s="1087"/>
      <c r="P179" s="1087"/>
      <c r="Q179" s="1087"/>
      <c r="R179" s="1563"/>
      <c r="S179" s="1087"/>
      <c r="T179" s="1087"/>
      <c r="U179" s="481"/>
      <c r="V179" s="1087"/>
      <c r="W179" s="1087"/>
      <c r="X179" s="1087"/>
      <c r="Y179" s="1087"/>
      <c r="Z179" s="1087"/>
      <c r="AA179" s="1559"/>
      <c r="AB179" s="503"/>
      <c r="AC179" s="503"/>
      <c r="AD179" s="503"/>
      <c r="AE179" s="503"/>
      <c r="AF179" s="1568">
        <v>11</v>
      </c>
    </row>
    <row r="180" spans="1:32" s="1568" customFormat="1" ht="11.25" customHeight="1">
      <c r="A180" s="917"/>
      <c r="B180" s="1563"/>
      <c r="C180" s="1563"/>
      <c r="D180" s="288"/>
      <c r="K180" s="1087"/>
      <c r="L180" s="1563"/>
      <c r="M180" s="1563"/>
      <c r="N180" s="1087"/>
      <c r="O180" s="1087"/>
      <c r="P180" s="1087"/>
      <c r="Q180" s="1087"/>
      <c r="R180" s="1563"/>
      <c r="S180" s="1087"/>
      <c r="T180" s="1087"/>
      <c r="U180" s="481"/>
      <c r="V180" s="1087"/>
      <c r="W180" s="1087"/>
      <c r="X180" s="1087"/>
      <c r="Y180" s="1087"/>
      <c r="Z180" s="1087"/>
      <c r="AA180" s="1559"/>
      <c r="AB180" s="503"/>
      <c r="AC180" s="503"/>
      <c r="AD180" s="503"/>
      <c r="AE180" s="503"/>
      <c r="AF180" s="1568">
        <v>11</v>
      </c>
    </row>
    <row r="181" spans="1:32" s="1568" customFormat="1" ht="11.25" customHeight="1">
      <c r="A181" s="917"/>
      <c r="B181" s="1563"/>
      <c r="C181" s="1563"/>
      <c r="D181" s="288"/>
      <c r="K181" s="1087"/>
      <c r="L181" s="1563"/>
      <c r="M181" s="1563"/>
      <c r="N181" s="1087"/>
      <c r="O181" s="1087"/>
      <c r="P181" s="1087"/>
      <c r="Q181" s="1087"/>
      <c r="R181" s="1563"/>
      <c r="S181" s="1087"/>
      <c r="T181" s="1087"/>
      <c r="U181" s="481"/>
      <c r="V181" s="1087"/>
      <c r="W181" s="1087"/>
      <c r="X181" s="1087"/>
      <c r="Y181" s="1087"/>
      <c r="Z181" s="1087"/>
      <c r="AA181" s="1559"/>
      <c r="AB181" s="503"/>
      <c r="AC181" s="503"/>
      <c r="AD181" s="503"/>
      <c r="AE181" s="503"/>
      <c r="AF181" s="1568">
        <v>11</v>
      </c>
    </row>
    <row r="182" spans="1:32" s="1568" customFormat="1" ht="11.25" customHeight="1">
      <c r="A182" s="917"/>
      <c r="B182" s="1563"/>
      <c r="C182" s="1563"/>
      <c r="D182" s="288"/>
      <c r="K182" s="1087"/>
      <c r="L182" s="1563"/>
      <c r="M182" s="1563"/>
      <c r="N182" s="1087"/>
      <c r="O182" s="1087"/>
      <c r="P182" s="1087"/>
      <c r="Q182" s="1087"/>
      <c r="R182" s="1563"/>
      <c r="S182" s="1087"/>
      <c r="T182" s="1087"/>
      <c r="U182" s="481"/>
      <c r="V182" s="1087"/>
      <c r="W182" s="1087"/>
      <c r="X182" s="1087"/>
      <c r="Y182" s="1087"/>
      <c r="Z182" s="1087"/>
      <c r="AA182" s="1559"/>
      <c r="AB182" s="503"/>
      <c r="AC182" s="503"/>
      <c r="AD182" s="503"/>
      <c r="AE182" s="503"/>
      <c r="AF182" s="1568">
        <v>11</v>
      </c>
    </row>
    <row r="183" spans="1:32" s="1568" customFormat="1" ht="11.25" customHeight="1">
      <c r="A183" s="917"/>
      <c r="B183" s="1563"/>
      <c r="C183" s="1563"/>
      <c r="D183" s="288"/>
      <c r="K183" s="1087"/>
      <c r="L183" s="1563"/>
      <c r="M183" s="1563"/>
      <c r="N183" s="1087"/>
      <c r="O183" s="1087"/>
      <c r="P183" s="1087"/>
      <c r="Q183" s="1087"/>
      <c r="R183" s="1563"/>
      <c r="S183" s="1087"/>
      <c r="T183" s="1087"/>
      <c r="U183" s="481"/>
      <c r="V183" s="1087"/>
      <c r="W183" s="1087"/>
      <c r="X183" s="1087"/>
      <c r="Y183" s="1087"/>
      <c r="Z183" s="1087"/>
      <c r="AA183" s="1559"/>
      <c r="AB183" s="503"/>
      <c r="AC183" s="503"/>
      <c r="AD183" s="503"/>
      <c r="AE183" s="503"/>
      <c r="AF183" s="1568">
        <v>11</v>
      </c>
    </row>
    <row r="184" spans="1:32" s="1568" customFormat="1" ht="11.25" customHeight="1">
      <c r="A184" s="917"/>
      <c r="B184" s="1563"/>
      <c r="C184" s="1563"/>
      <c r="D184" s="288"/>
      <c r="K184" s="1087"/>
      <c r="L184" s="1563"/>
      <c r="M184" s="1563"/>
      <c r="N184" s="1087"/>
      <c r="O184" s="1087"/>
      <c r="P184" s="1087"/>
      <c r="Q184" s="1087"/>
      <c r="R184" s="1563"/>
      <c r="S184" s="1087"/>
      <c r="T184" s="1087"/>
      <c r="U184" s="481"/>
      <c r="V184" s="1087"/>
      <c r="W184" s="1087"/>
      <c r="X184" s="1087"/>
      <c r="Y184" s="1087"/>
      <c r="Z184" s="1087"/>
      <c r="AA184" s="1559"/>
      <c r="AB184" s="503"/>
      <c r="AC184" s="503"/>
      <c r="AD184" s="503"/>
      <c r="AE184" s="503"/>
      <c r="AF184" s="1568">
        <v>11</v>
      </c>
    </row>
    <row r="185" spans="1:32" s="1568" customFormat="1" ht="11.25" customHeight="1">
      <c r="A185" s="917"/>
      <c r="B185" s="1563"/>
      <c r="C185" s="1563"/>
      <c r="D185" s="288"/>
      <c r="K185" s="1087"/>
      <c r="L185" s="1563"/>
      <c r="M185" s="1563"/>
      <c r="N185" s="1087"/>
      <c r="O185" s="1087"/>
      <c r="P185" s="1087"/>
      <c r="Q185" s="1087"/>
      <c r="R185" s="1563"/>
      <c r="S185" s="1087"/>
      <c r="T185" s="1087"/>
      <c r="U185" s="481"/>
      <c r="V185" s="1087"/>
      <c r="W185" s="1087"/>
      <c r="X185" s="1087"/>
      <c r="Y185" s="1087"/>
      <c r="Z185" s="1087"/>
      <c r="AA185" s="1559"/>
      <c r="AB185" s="503"/>
      <c r="AC185" s="503"/>
      <c r="AD185" s="503"/>
      <c r="AE185" s="503"/>
      <c r="AF185" s="1568">
        <v>11</v>
      </c>
    </row>
    <row r="186" spans="1:32" s="1568" customFormat="1" ht="11.25" customHeight="1">
      <c r="A186" s="917"/>
      <c r="B186" s="1563"/>
      <c r="C186" s="1563"/>
      <c r="D186" s="288"/>
      <c r="K186" s="1087"/>
      <c r="L186" s="1563"/>
      <c r="M186" s="1563"/>
      <c r="N186" s="1087"/>
      <c r="O186" s="1087"/>
      <c r="P186" s="1087"/>
      <c r="Q186" s="1087"/>
      <c r="R186" s="1563"/>
      <c r="S186" s="1087"/>
      <c r="T186" s="1087"/>
      <c r="U186" s="481"/>
      <c r="V186" s="1087"/>
      <c r="W186" s="1087"/>
      <c r="X186" s="1087"/>
      <c r="Y186" s="1087"/>
      <c r="Z186" s="1087"/>
      <c r="AA186" s="1559"/>
      <c r="AB186" s="503"/>
      <c r="AC186" s="503"/>
      <c r="AD186" s="503"/>
      <c r="AE186" s="503"/>
      <c r="AF186" s="1568">
        <v>11</v>
      </c>
    </row>
    <row r="187" spans="1:32" s="1568" customFormat="1" ht="11.25" customHeight="1">
      <c r="A187" s="917"/>
      <c r="B187" s="1563"/>
      <c r="C187" s="1563"/>
      <c r="D187" s="288"/>
      <c r="K187" s="1087"/>
      <c r="L187" s="1563"/>
      <c r="M187" s="1563"/>
      <c r="N187" s="1087"/>
      <c r="O187" s="1087"/>
      <c r="P187" s="1087"/>
      <c r="Q187" s="1087"/>
      <c r="R187" s="1563"/>
      <c r="S187" s="1087"/>
      <c r="T187" s="1087"/>
      <c r="U187" s="481"/>
      <c r="V187" s="1087"/>
      <c r="W187" s="1087"/>
      <c r="X187" s="1087"/>
      <c r="Y187" s="1087"/>
      <c r="Z187" s="1087"/>
      <c r="AA187" s="1559"/>
      <c r="AB187" s="503"/>
      <c r="AC187" s="503"/>
      <c r="AD187" s="503"/>
      <c r="AE187" s="503"/>
      <c r="AF187" s="1568">
        <v>11</v>
      </c>
    </row>
    <row r="188" spans="1:32" s="1568" customFormat="1" ht="11.25" customHeight="1">
      <c r="A188" s="917"/>
      <c r="B188" s="1563"/>
      <c r="C188" s="1563"/>
      <c r="D188" s="288"/>
      <c r="K188" s="1087"/>
      <c r="L188" s="1563"/>
      <c r="M188" s="1563"/>
      <c r="N188" s="1087"/>
      <c r="O188" s="1087"/>
      <c r="P188" s="1087"/>
      <c r="Q188" s="1087"/>
      <c r="R188" s="1563"/>
      <c r="S188" s="1087"/>
      <c r="T188" s="1087"/>
      <c r="U188" s="481"/>
      <c r="V188" s="1087"/>
      <c r="W188" s="1087"/>
      <c r="X188" s="1087"/>
      <c r="Y188" s="1087"/>
      <c r="Z188" s="1087"/>
      <c r="AA188" s="1559"/>
      <c r="AB188" s="503"/>
      <c r="AC188" s="503"/>
      <c r="AD188" s="503"/>
      <c r="AE188" s="503"/>
      <c r="AF188" s="1568">
        <v>11</v>
      </c>
    </row>
    <row r="189" spans="1:32" s="1568" customFormat="1" ht="11.25" customHeight="1">
      <c r="A189" s="917"/>
      <c r="B189" s="1563"/>
      <c r="C189" s="1563"/>
      <c r="D189" s="288"/>
      <c r="K189" s="1087"/>
      <c r="L189" s="1563"/>
      <c r="M189" s="1563"/>
      <c r="N189" s="1087"/>
      <c r="O189" s="1087"/>
      <c r="P189" s="1087"/>
      <c r="Q189" s="1087"/>
      <c r="R189" s="1563"/>
      <c r="S189" s="1087"/>
      <c r="T189" s="1087"/>
      <c r="U189" s="481"/>
      <c r="V189" s="1087"/>
      <c r="W189" s="1087"/>
      <c r="X189" s="1087"/>
      <c r="Y189" s="1087"/>
      <c r="Z189" s="1087"/>
      <c r="AA189" s="1559"/>
      <c r="AB189" s="503"/>
      <c r="AC189" s="503"/>
      <c r="AD189" s="503"/>
      <c r="AE189" s="503"/>
      <c r="AF189" s="1568">
        <v>11</v>
      </c>
    </row>
    <row r="190" spans="1:32" s="1568" customFormat="1" ht="11.25" customHeight="1">
      <c r="A190" s="917"/>
      <c r="B190" s="1563"/>
      <c r="C190" s="1563"/>
      <c r="D190" s="288"/>
      <c r="K190" s="1087"/>
      <c r="L190" s="1563"/>
      <c r="M190" s="1563"/>
      <c r="N190" s="1087"/>
      <c r="O190" s="1087"/>
      <c r="P190" s="1087"/>
      <c r="Q190" s="1087"/>
      <c r="R190" s="1563"/>
      <c r="S190" s="1087"/>
      <c r="T190" s="1087"/>
      <c r="U190" s="481"/>
      <c r="V190" s="1087"/>
      <c r="W190" s="1087"/>
      <c r="X190" s="1087"/>
      <c r="Y190" s="1087"/>
      <c r="Z190" s="1087"/>
      <c r="AA190" s="1559"/>
      <c r="AB190" s="503"/>
      <c r="AC190" s="503"/>
      <c r="AD190" s="503"/>
      <c r="AE190" s="503"/>
      <c r="AF190" s="1568">
        <v>11</v>
      </c>
    </row>
    <row r="191" spans="1:32" s="1568" customFormat="1" ht="11.25" customHeight="1">
      <c r="A191" s="917"/>
      <c r="B191" s="1563"/>
      <c r="C191" s="1563"/>
      <c r="D191" s="288"/>
      <c r="K191" s="1087"/>
      <c r="L191" s="1563"/>
      <c r="M191" s="1563"/>
      <c r="N191" s="1087"/>
      <c r="O191" s="1087"/>
      <c r="P191" s="1087"/>
      <c r="Q191" s="1087"/>
      <c r="R191" s="1563"/>
      <c r="S191" s="1087"/>
      <c r="T191" s="1087"/>
      <c r="U191" s="481"/>
      <c r="V191" s="1087"/>
      <c r="W191" s="1087"/>
      <c r="X191" s="1087"/>
      <c r="Y191" s="1087"/>
      <c r="Z191" s="1087"/>
      <c r="AA191" s="1559"/>
      <c r="AB191" s="503"/>
      <c r="AC191" s="503"/>
      <c r="AD191" s="503"/>
      <c r="AE191" s="503"/>
      <c r="AF191" s="1568">
        <v>11</v>
      </c>
    </row>
    <row r="192" spans="1:32" s="1568" customFormat="1" ht="11.25" customHeight="1">
      <c r="A192" s="917"/>
      <c r="B192" s="1563"/>
      <c r="C192" s="1563"/>
      <c r="D192" s="288"/>
      <c r="K192" s="1087"/>
      <c r="L192" s="1563"/>
      <c r="M192" s="1563"/>
      <c r="N192" s="1087"/>
      <c r="O192" s="1087"/>
      <c r="P192" s="1087"/>
      <c r="Q192" s="1087"/>
      <c r="R192" s="1563"/>
      <c r="S192" s="1087"/>
      <c r="T192" s="1087"/>
      <c r="U192" s="481"/>
      <c r="V192" s="1087"/>
      <c r="W192" s="1087"/>
      <c r="X192" s="1087"/>
      <c r="Y192" s="1087"/>
      <c r="Z192" s="1087"/>
      <c r="AA192" s="1559"/>
      <c r="AB192" s="503"/>
      <c r="AC192" s="503"/>
      <c r="AD192" s="503"/>
      <c r="AE192" s="503"/>
      <c r="AF192" s="1568">
        <v>11</v>
      </c>
    </row>
    <row r="193" spans="1:32" s="1568" customFormat="1" ht="11.25" customHeight="1">
      <c r="A193" s="917"/>
      <c r="B193" s="1563"/>
      <c r="C193" s="1563"/>
      <c r="D193" s="288"/>
      <c r="K193" s="1087"/>
      <c r="L193" s="1563"/>
      <c r="M193" s="1563"/>
      <c r="N193" s="1087"/>
      <c r="O193" s="1087"/>
      <c r="P193" s="1087"/>
      <c r="Q193" s="1087"/>
      <c r="R193" s="1563"/>
      <c r="S193" s="1087"/>
      <c r="T193" s="1087"/>
      <c r="U193" s="481"/>
      <c r="V193" s="1087"/>
      <c r="W193" s="1087"/>
      <c r="X193" s="1087"/>
      <c r="Y193" s="1087"/>
      <c r="Z193" s="1087"/>
      <c r="AA193" s="1559"/>
      <c r="AB193" s="503"/>
      <c r="AC193" s="503"/>
      <c r="AD193" s="503"/>
      <c r="AE193" s="503"/>
      <c r="AF193" s="1568">
        <v>11</v>
      </c>
    </row>
    <row r="194" spans="1:32" s="1568" customFormat="1" ht="11.25" customHeight="1">
      <c r="A194" s="917"/>
      <c r="B194" s="1563"/>
      <c r="C194" s="1563"/>
      <c r="D194" s="288"/>
      <c r="K194" s="1087"/>
      <c r="L194" s="1563"/>
      <c r="M194" s="1563"/>
      <c r="N194" s="1087"/>
      <c r="O194" s="1087"/>
      <c r="P194" s="1087"/>
      <c r="Q194" s="1087"/>
      <c r="R194" s="1563"/>
      <c r="S194" s="1087"/>
      <c r="T194" s="1087"/>
      <c r="U194" s="481"/>
      <c r="V194" s="1087"/>
      <c r="W194" s="1087"/>
      <c r="X194" s="1087"/>
      <c r="Y194" s="1087"/>
      <c r="Z194" s="1087"/>
      <c r="AA194" s="1559"/>
      <c r="AB194" s="503"/>
      <c r="AC194" s="503"/>
      <c r="AD194" s="503"/>
      <c r="AE194" s="503"/>
      <c r="AF194" s="1568">
        <v>11</v>
      </c>
    </row>
    <row r="195" spans="1:32" s="1568" customFormat="1" ht="11.25" customHeight="1">
      <c r="A195" s="917"/>
      <c r="B195" s="1563"/>
      <c r="C195" s="1563"/>
      <c r="D195" s="288"/>
      <c r="K195" s="1087"/>
      <c r="L195" s="1563"/>
      <c r="M195" s="1563"/>
      <c r="N195" s="1087"/>
      <c r="O195" s="1087"/>
      <c r="P195" s="1087"/>
      <c r="Q195" s="1087"/>
      <c r="R195" s="1563"/>
      <c r="S195" s="1087"/>
      <c r="T195" s="1087"/>
      <c r="U195" s="481"/>
      <c r="V195" s="1087"/>
      <c r="W195" s="1087"/>
      <c r="X195" s="1087"/>
      <c r="Y195" s="1087"/>
      <c r="Z195" s="1087"/>
      <c r="AA195" s="1559"/>
      <c r="AB195" s="503"/>
      <c r="AC195" s="503"/>
      <c r="AD195" s="503"/>
      <c r="AE195" s="503"/>
      <c r="AF195" s="1568">
        <v>11</v>
      </c>
    </row>
    <row r="196" spans="1:32" ht="11.25" customHeight="1">
      <c r="AF196" s="1558">
        <v>11</v>
      </c>
    </row>
    <row r="197" spans="1:32" ht="11.25" customHeight="1">
      <c r="AF197" s="1558">
        <v>11</v>
      </c>
    </row>
    <row r="198" spans="1:32" ht="11.25" customHeight="1">
      <c r="AF198" s="1558">
        <v>11</v>
      </c>
    </row>
    <row r="199" spans="1:32" ht="11.25" customHeight="1">
      <c r="A199" s="920"/>
      <c r="B199" s="1558"/>
      <c r="D199" s="1558"/>
      <c r="K199" s="1558"/>
      <c r="N199" s="1558"/>
      <c r="O199" s="1558"/>
      <c r="P199" s="1558"/>
      <c r="Q199" s="1558"/>
      <c r="S199" s="1558"/>
      <c r="T199" s="1558"/>
      <c r="U199" s="1558"/>
      <c r="V199" s="1558"/>
      <c r="W199" s="1558"/>
      <c r="X199" s="1558"/>
      <c r="Y199" s="1558"/>
      <c r="Z199" s="1558"/>
      <c r="AA199" s="1558"/>
      <c r="AB199" s="1558"/>
      <c r="AC199" s="1558"/>
      <c r="AD199" s="1558"/>
      <c r="AE199" s="1558"/>
      <c r="AF199" s="1558">
        <v>11</v>
      </c>
    </row>
    <row r="200" spans="1:32" ht="11.25" customHeight="1">
      <c r="A200" s="920"/>
      <c r="B200" s="1558"/>
      <c r="D200" s="1558"/>
      <c r="K200" s="1558"/>
      <c r="N200" s="1558"/>
      <c r="O200" s="1558"/>
      <c r="P200" s="1558"/>
      <c r="Q200" s="1558"/>
      <c r="S200" s="1558"/>
      <c r="T200" s="1558"/>
      <c r="U200" s="1558"/>
      <c r="V200" s="1558"/>
      <c r="W200" s="1558"/>
      <c r="X200" s="1558"/>
      <c r="Y200" s="1558"/>
      <c r="Z200" s="1558"/>
      <c r="AA200" s="1558"/>
      <c r="AB200" s="1558"/>
      <c r="AC200" s="1558"/>
      <c r="AD200" s="1558"/>
      <c r="AE200" s="1558"/>
      <c r="AF200" s="1558">
        <v>11</v>
      </c>
    </row>
    <row r="201" spans="1:32" ht="11.25" customHeight="1">
      <c r="A201" s="920"/>
      <c r="B201" s="1558"/>
      <c r="D201" s="1558"/>
      <c r="K201" s="1558"/>
      <c r="N201" s="1558"/>
      <c r="O201" s="1558"/>
      <c r="P201" s="1558"/>
      <c r="Q201" s="1558"/>
      <c r="S201" s="1558"/>
      <c r="T201" s="1558"/>
      <c r="U201" s="1558"/>
      <c r="V201" s="1558"/>
      <c r="W201" s="1558"/>
      <c r="X201" s="1558"/>
      <c r="Y201" s="1558"/>
      <c r="Z201" s="1558"/>
      <c r="AA201" s="1558"/>
      <c r="AB201" s="1558"/>
      <c r="AC201" s="1558"/>
      <c r="AD201" s="1558"/>
      <c r="AE201" s="1558"/>
      <c r="AF201" s="1558">
        <v>11</v>
      </c>
    </row>
    <row r="202" spans="1:32" ht="11.25" customHeight="1">
      <c r="A202" s="920"/>
      <c r="B202" s="1558"/>
      <c r="D202" s="1558"/>
      <c r="K202" s="1558"/>
      <c r="N202" s="1558"/>
      <c r="O202" s="1558"/>
      <c r="P202" s="1558"/>
      <c r="Q202" s="1558"/>
      <c r="S202" s="1558"/>
      <c r="T202" s="1558"/>
      <c r="U202" s="1558"/>
      <c r="V202" s="1558"/>
      <c r="W202" s="1558"/>
      <c r="X202" s="1558"/>
      <c r="Y202" s="1558"/>
      <c r="Z202" s="1558"/>
      <c r="AA202" s="1558"/>
      <c r="AB202" s="1558"/>
      <c r="AC202" s="1558"/>
      <c r="AD202" s="1558"/>
      <c r="AE202" s="1558"/>
      <c r="AF202" s="1558">
        <v>11</v>
      </c>
    </row>
    <row r="203" spans="1:32" ht="11.25" customHeight="1">
      <c r="A203" s="920"/>
      <c r="B203" s="1558"/>
      <c r="D203" s="1558"/>
      <c r="K203" s="1558"/>
      <c r="N203" s="1558"/>
      <c r="O203" s="1558"/>
      <c r="P203" s="1558"/>
      <c r="Q203" s="1558"/>
      <c r="S203" s="1558"/>
      <c r="T203" s="1558"/>
      <c r="U203" s="1558"/>
      <c r="V203" s="1558"/>
      <c r="W203" s="1558"/>
      <c r="X203" s="1558"/>
      <c r="Y203" s="1558"/>
      <c r="Z203" s="1558"/>
      <c r="AA203" s="1558"/>
      <c r="AB203" s="1558"/>
      <c r="AC203" s="1558"/>
      <c r="AD203" s="1558"/>
      <c r="AE203" s="1558"/>
      <c r="AF203" s="1558">
        <v>11</v>
      </c>
    </row>
    <row r="204" spans="1:32" ht="11.25" customHeight="1">
      <c r="A204" s="920"/>
      <c r="B204" s="1558"/>
      <c r="D204" s="1558"/>
      <c r="K204" s="1558"/>
      <c r="N204" s="1558"/>
      <c r="O204" s="1558"/>
      <c r="P204" s="1558"/>
      <c r="Q204" s="1558"/>
      <c r="S204" s="1558"/>
      <c r="T204" s="1558"/>
      <c r="U204" s="1558"/>
      <c r="V204" s="1558"/>
      <c r="W204" s="1558"/>
      <c r="X204" s="1558"/>
      <c r="Y204" s="1558"/>
      <c r="Z204" s="1558"/>
      <c r="AA204" s="1558"/>
      <c r="AB204" s="1558"/>
      <c r="AC204" s="1558"/>
      <c r="AD204" s="1558"/>
      <c r="AE204" s="1558"/>
      <c r="AF204" s="1558">
        <v>11</v>
      </c>
    </row>
    <row r="205" spans="1:32" ht="11.25" customHeight="1">
      <c r="A205" s="920"/>
      <c r="B205" s="1558"/>
      <c r="D205" s="1558"/>
      <c r="K205" s="1558"/>
      <c r="N205" s="1558"/>
      <c r="O205" s="1558"/>
      <c r="P205" s="1558"/>
      <c r="Q205" s="1558"/>
      <c r="S205" s="1558"/>
      <c r="T205" s="1558"/>
      <c r="U205" s="1558"/>
      <c r="V205" s="1558"/>
      <c r="W205" s="1558"/>
      <c r="X205" s="1558"/>
      <c r="Y205" s="1558"/>
      <c r="Z205" s="1558"/>
      <c r="AA205" s="1558"/>
      <c r="AB205" s="1558"/>
      <c r="AC205" s="1558"/>
      <c r="AD205" s="1558"/>
      <c r="AE205" s="1558"/>
      <c r="AF205" s="1558">
        <v>11</v>
      </c>
    </row>
    <row r="206" spans="1:32" ht="11.25" customHeight="1">
      <c r="A206" s="920"/>
      <c r="B206" s="1558"/>
      <c r="D206" s="1558"/>
      <c r="K206" s="1558"/>
      <c r="N206" s="1558"/>
      <c r="O206" s="1558"/>
      <c r="P206" s="1558"/>
      <c r="Q206" s="1558"/>
      <c r="S206" s="1558"/>
      <c r="T206" s="1558"/>
      <c r="U206" s="1558"/>
      <c r="V206" s="1558"/>
      <c r="W206" s="1558"/>
      <c r="X206" s="1558"/>
      <c r="Y206" s="1558"/>
      <c r="Z206" s="1558"/>
      <c r="AA206" s="1558"/>
      <c r="AB206" s="1558"/>
      <c r="AC206" s="1558"/>
      <c r="AD206" s="1558"/>
      <c r="AE206" s="1558"/>
      <c r="AF206" s="1558">
        <v>11</v>
      </c>
    </row>
    <row r="207" spans="1:32" ht="11.25" customHeight="1">
      <c r="A207" s="920"/>
      <c r="B207" s="1558"/>
      <c r="D207" s="1558"/>
      <c r="K207" s="1558"/>
      <c r="N207" s="1558"/>
      <c r="O207" s="1558"/>
      <c r="P207" s="1558"/>
      <c r="Q207" s="1558"/>
      <c r="S207" s="1558"/>
      <c r="T207" s="1558"/>
      <c r="U207" s="1558"/>
      <c r="V207" s="1558"/>
      <c r="W207" s="1558"/>
      <c r="X207" s="1558"/>
      <c r="Y207" s="1558"/>
      <c r="Z207" s="1558"/>
      <c r="AA207" s="1558"/>
      <c r="AB207" s="1558"/>
      <c r="AC207" s="1558"/>
      <c r="AD207" s="1558"/>
      <c r="AE207" s="1558"/>
      <c r="AF207" s="1558">
        <v>11</v>
      </c>
    </row>
    <row r="208" spans="1:32" ht="11.25" customHeight="1">
      <c r="A208" s="920"/>
      <c r="B208" s="1558"/>
      <c r="D208" s="1558"/>
      <c r="K208" s="1558"/>
      <c r="N208" s="1558"/>
      <c r="O208" s="1558"/>
      <c r="P208" s="1558"/>
      <c r="Q208" s="1558"/>
      <c r="S208" s="1558"/>
      <c r="T208" s="1558"/>
      <c r="U208" s="1558"/>
      <c r="V208" s="1558"/>
      <c r="W208" s="1558"/>
      <c r="X208" s="1558"/>
      <c r="Y208" s="1558"/>
      <c r="Z208" s="1558"/>
      <c r="AA208" s="1558"/>
      <c r="AB208" s="1558"/>
      <c r="AC208" s="1558"/>
      <c r="AD208" s="1558"/>
      <c r="AE208" s="1558"/>
      <c r="AF208" s="1558">
        <v>11</v>
      </c>
    </row>
    <row r="209" spans="1:32" ht="11.25" customHeight="1">
      <c r="A209" s="920"/>
      <c r="B209" s="1558"/>
      <c r="D209" s="1558"/>
      <c r="K209" s="1558"/>
      <c r="N209" s="1558"/>
      <c r="O209" s="1558"/>
      <c r="P209" s="1558"/>
      <c r="Q209" s="1558"/>
      <c r="S209" s="1558"/>
      <c r="T209" s="1558"/>
      <c r="U209" s="1558"/>
      <c r="V209" s="1558"/>
      <c r="W209" s="1558"/>
      <c r="X209" s="1558"/>
      <c r="Y209" s="1558"/>
      <c r="Z209" s="1558"/>
      <c r="AA209" s="1558"/>
      <c r="AB209" s="1558"/>
      <c r="AC209" s="1558"/>
      <c r="AD209" s="1558"/>
      <c r="AE209" s="1558"/>
      <c r="AF209" s="1558">
        <v>11</v>
      </c>
    </row>
    <row r="210" spans="1:32" ht="11.25" hidden="1" customHeight="1">
      <c r="A210" s="917" t="s">
        <v>87</v>
      </c>
      <c r="B210" s="1087">
        <v>0</v>
      </c>
      <c r="C210" s="1563">
        <v>0</v>
      </c>
      <c r="D210" s="1562">
        <v>3</v>
      </c>
      <c r="E210" s="1558">
        <v>7</v>
      </c>
      <c r="F210" s="1558">
        <v>54</v>
      </c>
      <c r="G210" s="1558">
        <v>10</v>
      </c>
      <c r="H210" s="1558">
        <v>0</v>
      </c>
      <c r="I210" s="1558">
        <v>40</v>
      </c>
      <c r="J210" s="1558">
        <v>102</v>
      </c>
      <c r="K210" s="1087">
        <v>9</v>
      </c>
      <c r="L210" s="1563">
        <v>5</v>
      </c>
      <c r="M210" s="1563">
        <v>3</v>
      </c>
      <c r="N210" s="1087">
        <v>3</v>
      </c>
      <c r="O210" s="1087">
        <v>3</v>
      </c>
      <c r="P210" s="1087">
        <v>3</v>
      </c>
      <c r="Q210" s="1087">
        <v>3</v>
      </c>
      <c r="R210" s="1563">
        <v>10</v>
      </c>
      <c r="S210" s="1087">
        <v>34</v>
      </c>
      <c r="T210" s="1087">
        <v>9</v>
      </c>
      <c r="U210" s="481">
        <v>8</v>
      </c>
      <c r="V210" s="1087">
        <v>8</v>
      </c>
      <c r="W210" s="1087">
        <v>8</v>
      </c>
      <c r="X210" s="1087">
        <v>8</v>
      </c>
      <c r="Y210" s="1087">
        <v>8</v>
      </c>
      <c r="Z210" s="1087">
        <v>8</v>
      </c>
      <c r="AA210" s="1559">
        <v>8</v>
      </c>
      <c r="AB210" s="1559">
        <v>8</v>
      </c>
      <c r="AC210" s="1559">
        <v>8</v>
      </c>
      <c r="AD210" s="1559">
        <v>8</v>
      </c>
      <c r="AE210" s="1559">
        <v>8</v>
      </c>
      <c r="AF210" s="1558">
        <v>11</v>
      </c>
    </row>
  </sheetData>
  <sheetProtection formatColumns="0" formatRows="0" insertRows="0" deleteColumns="0" deleteRows="0" sort="0" autoFilter="0"/>
  <mergeCells count="9">
    <mergeCell ref="F40:G40"/>
    <mergeCell ref="E6:I6"/>
    <mergeCell ref="E7:I7"/>
    <mergeCell ref="F10:G10"/>
    <mergeCell ref="J10:J14"/>
    <mergeCell ref="F11:G11"/>
    <mergeCell ref="F12:G12"/>
    <mergeCell ref="E13:G13"/>
    <mergeCell ref="F39:G39"/>
  </mergeCells>
  <dataValidations count="5">
    <dataValidation type="decimal" allowBlank="1" showErrorMessage="1" errorTitle="Ошибка" error="Допускается ввод только действительных чисел!" sqref="H32:I34">
      <formula1>-9.99999999999999E+37</formula1>
      <formula2>9.99999999999999E+37</formula2>
    </dataValidation>
    <dataValidation type="decimal" allowBlank="1" showErrorMessage="1" errorTitle="Ошибка" error="Допускается ввод только действительных чисел!" sqref="H30:I3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5:I35">
      <formula1>900</formula1>
    </dataValidation>
    <dataValidation type="decimal" allowBlank="1" showErrorMessage="1" errorTitle="Ошибка" error="Допускается ввод только неотрицательных чисел!" sqref="H31:I31 H2:I2 H15:I15 H17:I27 H36:I37">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наименование прочих расходов" sqref="H28:I28">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X102"/>
  <sheetViews>
    <sheetView showGridLines="0" zoomScale="90" workbookViewId="0">
      <pane xSplit="8" ySplit="11" topLeftCell="I12" activePane="bottomRight" state="frozen"/>
      <selection pane="topRight" activeCell="I1" sqref="I1"/>
      <selection pane="bottomLeft" activeCell="A12" sqref="A12"/>
      <selection pane="bottomRight"/>
    </sheetView>
  </sheetViews>
  <sheetFormatPr defaultColWidth="10.5703125" defaultRowHeight="11.25" customHeight="1"/>
  <cols>
    <col min="1" max="1" width="9.140625" style="1093" hidden="1" customWidth="1"/>
    <col min="2" max="2" width="3.5703125" style="1569" hidden="1" customWidth="1"/>
    <col min="3" max="3" width="3" style="1562" customWidth="1"/>
    <col min="4" max="4" width="7" style="1562" customWidth="1"/>
    <col min="5" max="5" width="69" style="1562" customWidth="1"/>
    <col min="6" max="6" width="10" style="1562" customWidth="1"/>
    <col min="7" max="8" width="44" style="1562" hidden="1" customWidth="1"/>
    <col min="9" max="9" width="44" style="1562" customWidth="1"/>
    <col min="10" max="10" width="43" style="1562" customWidth="1"/>
    <col min="11" max="11" width="73" style="1562" customWidth="1"/>
    <col min="12" max="12" width="3" style="1562" customWidth="1"/>
    <col min="13" max="23" width="10" style="1562" customWidth="1"/>
    <col min="24" max="24" width="10.5703125" style="1562" hidden="1"/>
  </cols>
  <sheetData>
    <row r="1" spans="1:24" s="1293" customFormat="1" ht="22.5" hidden="1" customHeight="1">
      <c r="A1" s="473"/>
      <c r="B1" s="448"/>
      <c r="G1" s="354">
        <v>4</v>
      </c>
      <c r="I1" s="354">
        <v>4</v>
      </c>
      <c r="K1" s="354">
        <v>5</v>
      </c>
      <c r="X1" s="354" t="s">
        <v>14</v>
      </c>
    </row>
    <row r="2" spans="1:24" ht="3" customHeight="1">
      <c r="X2" s="442">
        <v>3</v>
      </c>
    </row>
    <row r="3" spans="1:24" ht="78.75" customHeight="1">
      <c r="D3" s="2751"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3" s="2752"/>
      <c r="F3" s="2753"/>
      <c r="X3" s="442">
        <v>75</v>
      </c>
    </row>
    <row r="4" spans="1:24" s="1562" customFormat="1" ht="21" customHeight="1">
      <c r="A4" s="881"/>
      <c r="B4" s="448"/>
      <c r="D4" s="2871" t="str">
        <f>IF(org=0,"Не определено",org)</f>
        <v>ТМУП "ТТС"</v>
      </c>
      <c r="E4" s="2872"/>
      <c r="F4" s="2873"/>
      <c r="X4" s="693">
        <v>20</v>
      </c>
    </row>
    <row r="5" spans="1:24" ht="11.25" customHeight="1">
      <c r="C5" s="446"/>
      <c r="D5" s="525"/>
      <c r="E5" s="525"/>
      <c r="F5" s="525"/>
      <c r="G5" s="525"/>
      <c r="H5" s="689"/>
      <c r="I5" s="525"/>
      <c r="J5" s="689"/>
      <c r="K5" s="525"/>
      <c r="X5" s="442">
        <v>11</v>
      </c>
    </row>
    <row r="6" spans="1:24" ht="0.75" customHeight="1">
      <c r="C6" s="446"/>
      <c r="D6" s="446"/>
      <c r="E6" s="459"/>
      <c r="F6" s="551"/>
      <c r="G6" s="952"/>
      <c r="H6" s="952"/>
      <c r="I6" s="952" t="s">
        <v>122</v>
      </c>
      <c r="J6" s="952"/>
      <c r="X6" s="442">
        <v>1</v>
      </c>
    </row>
    <row r="7" spans="1:24" ht="11.25" customHeight="1">
      <c r="D7" s="648"/>
      <c r="E7" s="2984" t="s">
        <v>110</v>
      </c>
      <c r="F7" s="2985"/>
      <c r="G7" s="3004" t="str">
        <f>IF(G6="","",INDEX(DIFFERENTIATION_UNMERGE_VD,MATCH(G6,DIFFERENTIATION_ID_DIFF,0)))</f>
        <v/>
      </c>
      <c r="H7" s="3005"/>
      <c r="I7" s="3004">
        <f>IF(I6="","",INDEX(DIFFERENTIATION_UNMERGE_VD,MATCH(I6,DIFFERENTIATION_ID_DIFF,0)))</f>
        <v>0</v>
      </c>
      <c r="J7" s="3005"/>
      <c r="K7" s="2829"/>
      <c r="L7" s="446"/>
      <c r="X7" s="442">
        <v>11</v>
      </c>
    </row>
    <row r="8" spans="1:24" ht="11.25" customHeight="1">
      <c r="A8" s="641"/>
      <c r="D8" s="648"/>
      <c r="E8" s="2984" t="s">
        <v>610</v>
      </c>
      <c r="F8" s="2985"/>
      <c r="G8" s="3004" t="str">
        <f>IF(G6="","",INDEX(DIFFERENTIATION_UNMERGE_AREA,MATCH(G6,DIFFERENTIATION_ID_DIFF,0)))</f>
        <v/>
      </c>
      <c r="H8" s="3005"/>
      <c r="I8" s="3004" t="str">
        <f>IF(I6="","",INDEX(DIFFERENTIATION_UNMERGE_AREA,MATCH(I6,DIFFERENTIATION_ID_DIFF,0)))</f>
        <v/>
      </c>
      <c r="J8" s="3005"/>
      <c r="K8" s="2834"/>
      <c r="L8" s="446"/>
      <c r="X8" s="442">
        <v>11</v>
      </c>
    </row>
    <row r="9" spans="1:24" ht="11.25" customHeight="1">
      <c r="A9" s="641"/>
      <c r="D9" s="648"/>
      <c r="E9" s="2984" t="s">
        <v>611</v>
      </c>
      <c r="F9" s="2985"/>
      <c r="G9" s="3004" t="str">
        <f>IF(G6="","",INDEX(DIFFERENTIATION_UNMERGE_SYSTEM,MATCH(G6,DIFFERENTIATION_ID_DIFF,0)))</f>
        <v/>
      </c>
      <c r="H9" s="3005"/>
      <c r="I9" s="3004" t="str">
        <f>IF(I6="","",INDEX(DIFFERENTIATION_UNMERGE_SYSTEM,MATCH(I6,DIFFERENTIATION_ID_DIFF,0)))</f>
        <v>без дифференциации</v>
      </c>
      <c r="J9" s="3005"/>
      <c r="K9" s="2834"/>
      <c r="L9" s="446"/>
      <c r="X9" s="442">
        <v>11</v>
      </c>
    </row>
    <row r="10" spans="1:24" s="1562" customFormat="1" ht="11.25" customHeight="1">
      <c r="A10" s="951"/>
      <c r="B10" s="448"/>
      <c r="D10" s="2740" t="s">
        <v>345</v>
      </c>
      <c r="E10" s="2745"/>
      <c r="F10" s="2745"/>
      <c r="G10" s="2745"/>
      <c r="H10" s="2745"/>
      <c r="I10" s="2745"/>
      <c r="J10" s="2739"/>
      <c r="K10" s="2834"/>
      <c r="L10" s="446"/>
      <c r="X10" s="693">
        <v>11</v>
      </c>
    </row>
    <row r="11" spans="1:24" s="1562" customFormat="1" ht="24" customHeight="1">
      <c r="A11" s="2895"/>
      <c r="B11" s="2895"/>
      <c r="C11" s="594"/>
      <c r="D11" s="640" t="s">
        <v>93</v>
      </c>
      <c r="E11" s="642" t="s">
        <v>852</v>
      </c>
      <c r="F11" s="642" t="s">
        <v>612</v>
      </c>
      <c r="G11" s="402" t="s">
        <v>348</v>
      </c>
      <c r="H11" s="402" t="s">
        <v>435</v>
      </c>
      <c r="I11" s="738" t="s">
        <v>348</v>
      </c>
      <c r="J11" s="739" t="s">
        <v>435</v>
      </c>
      <c r="K11" s="2882"/>
      <c r="L11" s="595"/>
      <c r="X11" s="446">
        <v>23</v>
      </c>
    </row>
    <row r="12" spans="1:24" s="1569" customFormat="1" ht="10.5" customHeight="1">
      <c r="A12" s="882"/>
      <c r="D12" s="955" t="s">
        <v>114</v>
      </c>
      <c r="E12" s="955" t="s">
        <v>115</v>
      </c>
      <c r="F12" s="955" t="s">
        <v>95</v>
      </c>
      <c r="G12" s="956" t="str">
        <f>G1&amp;".1"</f>
        <v>4.1</v>
      </c>
      <c r="H12" s="956" t="str">
        <f>G1&amp;".2"</f>
        <v>4.2</v>
      </c>
      <c r="I12" s="956" t="str">
        <f>I1&amp;".1"</f>
        <v>4.1</v>
      </c>
      <c r="J12" s="956" t="str">
        <f>I1&amp;".2"</f>
        <v>4.2</v>
      </c>
      <c r="K12" s="956"/>
      <c r="X12" s="448">
        <v>10</v>
      </c>
    </row>
    <row r="13" spans="1:24" ht="22.5" customHeight="1">
      <c r="A13" s="3006" t="s">
        <v>853</v>
      </c>
      <c r="D13" s="883" t="s">
        <v>114</v>
      </c>
      <c r="E13" s="217" t="s">
        <v>854</v>
      </c>
      <c r="F13" s="597" t="s">
        <v>855</v>
      </c>
      <c r="G13" s="494"/>
      <c r="H13" s="598"/>
      <c r="I13" s="494"/>
      <c r="J13" s="598"/>
      <c r="K13" s="227" t="s">
        <v>856</v>
      </c>
      <c r="L13" s="657"/>
      <c r="X13" s="442">
        <v>0</v>
      </c>
    </row>
    <row r="14" spans="1:24" ht="22.5" customHeight="1">
      <c r="A14" s="3006"/>
      <c r="D14" s="476" t="s">
        <v>115</v>
      </c>
      <c r="E14" s="217" t="s">
        <v>857</v>
      </c>
      <c r="F14" s="597" t="s">
        <v>858</v>
      </c>
      <c r="G14" s="494"/>
      <c r="H14" s="599"/>
      <c r="I14" s="494"/>
      <c r="J14" s="599"/>
      <c r="K14" s="227" t="s">
        <v>859</v>
      </c>
      <c r="L14" s="657"/>
      <c r="X14" s="442">
        <v>0</v>
      </c>
    </row>
    <row r="15" spans="1:24" s="1562" customFormat="1" ht="78.75" customHeight="1">
      <c r="A15" s="3006"/>
      <c r="B15" s="448"/>
      <c r="D15" s="883" t="s">
        <v>95</v>
      </c>
      <c r="E15" s="644" t="s">
        <v>860</v>
      </c>
      <c r="F15" s="880" t="s">
        <v>351</v>
      </c>
      <c r="G15" s="880" t="s">
        <v>351</v>
      </c>
      <c r="H15" s="46"/>
      <c r="I15" s="880" t="s">
        <v>351</v>
      </c>
      <c r="J15" s="46"/>
      <c r="K15" s="227" t="s">
        <v>861</v>
      </c>
      <c r="L15" s="657"/>
      <c r="X15" s="693">
        <v>0</v>
      </c>
    </row>
    <row r="16" spans="1:24" s="1562" customFormat="1" ht="22.5" customHeight="1">
      <c r="A16" s="3006"/>
      <c r="B16" s="448"/>
      <c r="D16" s="883" t="s">
        <v>369</v>
      </c>
      <c r="E16" s="884" t="s">
        <v>862</v>
      </c>
      <c r="F16" s="880" t="s">
        <v>863</v>
      </c>
      <c r="G16" s="748"/>
      <c r="H16" s="46"/>
      <c r="I16" s="748"/>
      <c r="J16" s="46"/>
      <c r="K16" s="227"/>
      <c r="L16" s="657"/>
      <c r="X16" s="693">
        <v>0</v>
      </c>
    </row>
    <row r="17" spans="1:24" s="1562" customFormat="1" ht="22.5" customHeight="1">
      <c r="A17" s="3006"/>
      <c r="B17" s="448"/>
      <c r="D17" s="883" t="s">
        <v>377</v>
      </c>
      <c r="E17" s="884" t="s">
        <v>864</v>
      </c>
      <c r="F17" s="880" t="s">
        <v>865</v>
      </c>
      <c r="G17" s="748"/>
      <c r="H17" s="46"/>
      <c r="I17" s="748"/>
      <c r="J17" s="46"/>
      <c r="K17" s="227"/>
      <c r="L17" s="657"/>
      <c r="X17" s="693">
        <v>0</v>
      </c>
    </row>
    <row r="18" spans="1:24" s="1562" customFormat="1" ht="33.75" customHeight="1">
      <c r="A18" s="3006"/>
      <c r="B18" s="448"/>
      <c r="D18" s="883" t="s">
        <v>379</v>
      </c>
      <c r="E18" s="884" t="s">
        <v>866</v>
      </c>
      <c r="F18" s="880" t="s">
        <v>617</v>
      </c>
      <c r="G18" s="617"/>
      <c r="H18" s="46"/>
      <c r="I18" s="617"/>
      <c r="J18" s="46"/>
      <c r="K18" s="227"/>
      <c r="L18" s="657"/>
      <c r="X18" s="693">
        <v>0</v>
      </c>
    </row>
    <row r="19" spans="1:24" ht="101.25" customHeight="1">
      <c r="A19" s="3006"/>
      <c r="D19" s="883" t="s">
        <v>96</v>
      </c>
      <c r="E19" s="217" t="s">
        <v>867</v>
      </c>
      <c r="F19" s="597" t="s">
        <v>592</v>
      </c>
      <c r="G19" s="600"/>
      <c r="H19" s="599"/>
      <c r="I19" s="885"/>
      <c r="J19" s="599"/>
      <c r="K19" s="227" t="s">
        <v>868</v>
      </c>
      <c r="L19" s="657"/>
      <c r="X19" s="442">
        <v>0</v>
      </c>
    </row>
    <row r="20" spans="1:24" s="1562" customFormat="1" ht="18.75" customHeight="1">
      <c r="A20" s="3006"/>
      <c r="C20" s="886"/>
      <c r="D20" s="883" t="s">
        <v>799</v>
      </c>
      <c r="E20" s="884" t="s">
        <v>869</v>
      </c>
      <c r="F20" s="880" t="s">
        <v>351</v>
      </c>
      <c r="G20" s="880" t="s">
        <v>351</v>
      </c>
      <c r="H20" s="879" t="s">
        <v>351</v>
      </c>
      <c r="I20" s="880" t="s">
        <v>351</v>
      </c>
      <c r="J20" s="879" t="s">
        <v>351</v>
      </c>
      <c r="K20" s="878"/>
      <c r="L20" s="657"/>
      <c r="W20" s="612"/>
      <c r="X20" s="693">
        <v>0</v>
      </c>
    </row>
    <row r="21" spans="1:24" s="1562" customFormat="1" ht="33.75" customHeight="1">
      <c r="A21" s="3006"/>
      <c r="C21" s="886"/>
      <c r="D21" s="883" t="s">
        <v>802</v>
      </c>
      <c r="E21" s="513" t="s">
        <v>870</v>
      </c>
      <c r="F21" s="880" t="s">
        <v>871</v>
      </c>
      <c r="G21" s="617"/>
      <c r="H21" s="46"/>
      <c r="I21" s="617"/>
      <c r="J21" s="46"/>
      <c r="K21" s="878"/>
      <c r="L21" s="657"/>
      <c r="W21" s="612"/>
      <c r="X21" s="693">
        <v>0</v>
      </c>
    </row>
    <row r="22" spans="1:24" s="1562" customFormat="1" ht="33.75" customHeight="1">
      <c r="A22" s="3006"/>
      <c r="C22" s="886"/>
      <c r="D22" s="883" t="s">
        <v>805</v>
      </c>
      <c r="E22" s="513" t="s">
        <v>872</v>
      </c>
      <c r="F22" s="880" t="s">
        <v>873</v>
      </c>
      <c r="G22" s="617"/>
      <c r="H22" s="46"/>
      <c r="I22" s="617"/>
      <c r="J22" s="46"/>
      <c r="K22" s="878"/>
      <c r="L22" s="657"/>
      <c r="W22" s="612"/>
      <c r="X22" s="693">
        <v>0</v>
      </c>
    </row>
    <row r="23" spans="1:24" s="1562" customFormat="1" ht="22.5" customHeight="1">
      <c r="A23" s="3006"/>
      <c r="C23" s="886"/>
      <c r="D23" s="883" t="s">
        <v>841</v>
      </c>
      <c r="E23" s="884" t="s">
        <v>874</v>
      </c>
      <c r="F23" s="880" t="s">
        <v>351</v>
      </c>
      <c r="G23" s="880" t="s">
        <v>351</v>
      </c>
      <c r="H23" s="879" t="s">
        <v>351</v>
      </c>
      <c r="I23" s="880" t="s">
        <v>351</v>
      </c>
      <c r="J23" s="879" t="s">
        <v>351</v>
      </c>
      <c r="K23" s="878"/>
      <c r="L23" s="657"/>
      <c r="W23" s="612"/>
      <c r="X23" s="693">
        <v>0</v>
      </c>
    </row>
    <row r="24" spans="1:24" s="1562" customFormat="1" ht="22.5" customHeight="1">
      <c r="A24" s="3006"/>
      <c r="C24" s="886"/>
      <c r="D24" s="883" t="s">
        <v>875</v>
      </c>
      <c r="E24" s="513" t="s">
        <v>876</v>
      </c>
      <c r="F24" s="880" t="s">
        <v>877</v>
      </c>
      <c r="G24" s="617"/>
      <c r="H24" s="623"/>
      <c r="I24" s="617"/>
      <c r="J24" s="623"/>
      <c r="K24" s="878"/>
      <c r="L24" s="657"/>
      <c r="W24" s="612"/>
      <c r="X24" s="693">
        <v>0</v>
      </c>
    </row>
    <row r="25" spans="1:24" s="1562" customFormat="1" ht="22.5" customHeight="1">
      <c r="A25" s="3006"/>
      <c r="C25" s="886"/>
      <c r="D25" s="883" t="s">
        <v>878</v>
      </c>
      <c r="E25" s="513" t="s">
        <v>879</v>
      </c>
      <c r="F25" s="880" t="s">
        <v>351</v>
      </c>
      <c r="G25" s="880" t="s">
        <v>351</v>
      </c>
      <c r="H25" s="879" t="s">
        <v>351</v>
      </c>
      <c r="I25" s="880" t="s">
        <v>351</v>
      </c>
      <c r="J25" s="879" t="s">
        <v>351</v>
      </c>
      <c r="K25" s="878"/>
      <c r="L25" s="657"/>
      <c r="W25" s="612"/>
      <c r="X25" s="693">
        <v>0</v>
      </c>
    </row>
    <row r="26" spans="1:24" s="1562" customFormat="1" ht="18.75" customHeight="1">
      <c r="A26" s="3006"/>
      <c r="C26" s="886"/>
      <c r="D26" s="883" t="s">
        <v>880</v>
      </c>
      <c r="E26" s="490" t="s">
        <v>881</v>
      </c>
      <c r="F26" s="880" t="s">
        <v>882</v>
      </c>
      <c r="G26" s="617"/>
      <c r="H26" s="623"/>
      <c r="I26" s="617"/>
      <c r="J26" s="623"/>
      <c r="K26" s="878"/>
      <c r="L26" s="657"/>
      <c r="W26" s="612"/>
      <c r="X26" s="693">
        <v>0</v>
      </c>
    </row>
    <row r="27" spans="1:24" s="1562" customFormat="1" ht="18.75" customHeight="1">
      <c r="A27" s="3006"/>
      <c r="C27" s="886"/>
      <c r="D27" s="883" t="s">
        <v>883</v>
      </c>
      <c r="E27" s="490" t="s">
        <v>884</v>
      </c>
      <c r="F27" s="880" t="s">
        <v>885</v>
      </c>
      <c r="G27" s="617"/>
      <c r="H27" s="623"/>
      <c r="I27" s="617"/>
      <c r="J27" s="623"/>
      <c r="K27" s="878"/>
      <c r="L27" s="657"/>
      <c r="W27" s="612"/>
      <c r="X27" s="693">
        <v>0</v>
      </c>
    </row>
    <row r="28" spans="1:24" s="1562" customFormat="1" ht="18.75" customHeight="1">
      <c r="A28" s="3006"/>
      <c r="C28" s="886"/>
      <c r="D28" s="883" t="s">
        <v>886</v>
      </c>
      <c r="E28" s="513" t="s">
        <v>887</v>
      </c>
      <c r="F28" s="880" t="s">
        <v>351</v>
      </c>
      <c r="G28" s="880" t="s">
        <v>351</v>
      </c>
      <c r="H28" s="879" t="s">
        <v>351</v>
      </c>
      <c r="I28" s="880" t="s">
        <v>351</v>
      </c>
      <c r="J28" s="879" t="s">
        <v>351</v>
      </c>
      <c r="K28" s="878"/>
      <c r="L28" s="657"/>
      <c r="W28" s="612"/>
      <c r="X28" s="693">
        <v>0</v>
      </c>
    </row>
    <row r="29" spans="1:24" s="1562" customFormat="1" ht="18.75" customHeight="1">
      <c r="A29" s="3006"/>
      <c r="C29" s="886"/>
      <c r="D29" s="883" t="s">
        <v>888</v>
      </c>
      <c r="E29" s="490" t="s">
        <v>881</v>
      </c>
      <c r="F29" s="880" t="s">
        <v>889</v>
      </c>
      <c r="G29" s="617"/>
      <c r="H29" s="623"/>
      <c r="I29" s="617"/>
      <c r="J29" s="623"/>
      <c r="K29" s="878"/>
      <c r="L29" s="657"/>
      <c r="W29" s="612"/>
      <c r="X29" s="693">
        <v>0</v>
      </c>
    </row>
    <row r="30" spans="1:24" s="1562" customFormat="1" ht="18.75" customHeight="1">
      <c r="A30" s="3006"/>
      <c r="C30" s="886"/>
      <c r="D30" s="883" t="s">
        <v>890</v>
      </c>
      <c r="E30" s="490" t="s">
        <v>891</v>
      </c>
      <c r="F30" s="880" t="s">
        <v>892</v>
      </c>
      <c r="G30" s="617"/>
      <c r="H30" s="623"/>
      <c r="I30" s="617"/>
      <c r="J30" s="623"/>
      <c r="K30" s="878"/>
      <c r="L30" s="657"/>
      <c r="W30" s="612"/>
      <c r="X30" s="693">
        <v>0</v>
      </c>
    </row>
    <row r="31" spans="1:24" ht="126.75" customHeight="1">
      <c r="A31" s="3006"/>
      <c r="D31" s="883" t="s">
        <v>116</v>
      </c>
      <c r="E31" s="217" t="s">
        <v>893</v>
      </c>
      <c r="F31" s="597" t="s">
        <v>604</v>
      </c>
      <c r="G31" s="494"/>
      <c r="H31" s="599"/>
      <c r="I31" s="494"/>
      <c r="J31" s="599"/>
      <c r="K31" s="227" t="s">
        <v>894</v>
      </c>
      <c r="L31" s="657"/>
      <c r="X31" s="442">
        <v>0</v>
      </c>
    </row>
    <row r="32" spans="1:24" ht="56.25" customHeight="1">
      <c r="A32" s="3006"/>
      <c r="D32" s="883" t="s">
        <v>97</v>
      </c>
      <c r="E32" s="217" t="s">
        <v>895</v>
      </c>
      <c r="F32" s="476" t="s">
        <v>865</v>
      </c>
      <c r="G32" s="494"/>
      <c r="H32" s="599"/>
      <c r="I32" s="494"/>
      <c r="J32" s="599"/>
      <c r="K32" s="227" t="s">
        <v>896</v>
      </c>
      <c r="L32" s="657"/>
      <c r="X32" s="442">
        <v>0</v>
      </c>
    </row>
    <row r="33" spans="1:24" ht="11.25" customHeight="1">
      <c r="A33" s="3006"/>
      <c r="E33" s="601"/>
      <c r="F33" s="119"/>
      <c r="G33" s="119"/>
      <c r="H33" s="119"/>
      <c r="I33" s="119"/>
      <c r="J33" s="119"/>
      <c r="K33" s="119"/>
      <c r="X33" s="442">
        <v>0</v>
      </c>
    </row>
    <row r="34" spans="1:24" ht="12.75" customHeight="1">
      <c r="A34" s="3006"/>
      <c r="D34" s="5">
        <v>1</v>
      </c>
      <c r="E34" s="273" t="s">
        <v>897</v>
      </c>
      <c r="X34" s="442">
        <v>0</v>
      </c>
    </row>
    <row r="35" spans="1:24" ht="11.25" customHeight="1">
      <c r="A35" s="3006"/>
      <c r="D35" s="306"/>
      <c r="E35" s="273" t="s">
        <v>898</v>
      </c>
      <c r="X35" s="442">
        <v>0</v>
      </c>
    </row>
    <row r="36" spans="1:24" s="1562" customFormat="1" ht="11.25" customHeight="1">
      <c r="A36" s="963"/>
      <c r="B36" s="455"/>
      <c r="D36" s="964"/>
      <c r="E36" s="965"/>
      <c r="X36" s="446">
        <v>11</v>
      </c>
    </row>
    <row r="37" spans="1:24" s="1562" customFormat="1" ht="22.5" hidden="1" customHeight="1">
      <c r="A37" s="3006" t="s">
        <v>899</v>
      </c>
      <c r="B37" s="448"/>
      <c r="D37" s="883">
        <v>1</v>
      </c>
      <c r="E37" s="644" t="s">
        <v>900</v>
      </c>
      <c r="F37" s="597" t="s">
        <v>855</v>
      </c>
      <c r="G37" s="494"/>
      <c r="H37" s="456"/>
      <c r="I37" s="494"/>
      <c r="J37" s="456"/>
      <c r="K37" s="227" t="s">
        <v>901</v>
      </c>
      <c r="X37" s="693">
        <v>0</v>
      </c>
    </row>
    <row r="38" spans="1:24" s="1562" customFormat="1" ht="22.5" hidden="1" customHeight="1">
      <c r="A38" s="3006"/>
      <c r="B38" s="448"/>
      <c r="D38" s="606" t="s">
        <v>115</v>
      </c>
      <c r="E38" s="962" t="s">
        <v>902</v>
      </c>
      <c r="F38" s="966" t="s">
        <v>592</v>
      </c>
      <c r="G38" s="966" t="s">
        <v>592</v>
      </c>
      <c r="H38" s="960"/>
      <c r="I38" s="966" t="s">
        <v>592</v>
      </c>
      <c r="J38" s="960"/>
      <c r="K38" s="961"/>
      <c r="X38" s="693">
        <v>0</v>
      </c>
    </row>
    <row r="39" spans="1:24" s="1562" customFormat="1" ht="33.75" hidden="1" customHeight="1">
      <c r="A39" s="3006"/>
      <c r="B39" s="448"/>
      <c r="D39" s="602" t="s">
        <v>757</v>
      </c>
      <c r="E39" s="660" t="s">
        <v>903</v>
      </c>
      <c r="F39" s="597" t="s">
        <v>904</v>
      </c>
      <c r="G39" s="605"/>
      <c r="H39" s="953"/>
      <c r="I39" s="605"/>
      <c r="J39" s="953"/>
      <c r="K39" s="227" t="s">
        <v>905</v>
      </c>
      <c r="X39" s="693">
        <v>0</v>
      </c>
    </row>
    <row r="40" spans="1:24" s="1562" customFormat="1" ht="33.75" hidden="1" customHeight="1">
      <c r="A40" s="3006"/>
      <c r="B40" s="448"/>
      <c r="D40" s="602" t="s">
        <v>760</v>
      </c>
      <c r="E40" s="660" t="s">
        <v>906</v>
      </c>
      <c r="F40" s="957" t="s">
        <v>907</v>
      </c>
      <c r="G40" s="678"/>
      <c r="H40" s="953"/>
      <c r="I40" s="678"/>
      <c r="J40" s="953"/>
      <c r="K40" s="227" t="s">
        <v>908</v>
      </c>
      <c r="X40" s="693">
        <v>0</v>
      </c>
    </row>
    <row r="41" spans="1:24" s="1562" customFormat="1" ht="22.5" hidden="1" customHeight="1">
      <c r="A41" s="3006"/>
      <c r="B41" s="448"/>
      <c r="D41" s="602" t="s">
        <v>95</v>
      </c>
      <c r="E41" s="659" t="s">
        <v>909</v>
      </c>
      <c r="F41" s="597" t="s">
        <v>592</v>
      </c>
      <c r="G41" s="597" t="s">
        <v>592</v>
      </c>
      <c r="H41" s="954"/>
      <c r="I41" s="597" t="s">
        <v>592</v>
      </c>
      <c r="J41" s="954"/>
      <c r="K41" s="240"/>
      <c r="X41" s="693">
        <v>0</v>
      </c>
    </row>
    <row r="42" spans="1:24" s="1562" customFormat="1" ht="45" hidden="1" customHeight="1">
      <c r="A42" s="3006"/>
      <c r="B42" s="448"/>
      <c r="D42" s="602" t="s">
        <v>369</v>
      </c>
      <c r="E42" s="660" t="s">
        <v>910</v>
      </c>
      <c r="F42" s="597" t="s">
        <v>604</v>
      </c>
      <c r="G42" s="494"/>
      <c r="H42" s="954"/>
      <c r="I42" s="494"/>
      <c r="J42" s="954"/>
      <c r="K42" s="240" t="s">
        <v>911</v>
      </c>
      <c r="X42" s="693">
        <v>0</v>
      </c>
    </row>
    <row r="43" spans="1:24" s="1562" customFormat="1" ht="45" hidden="1" customHeight="1">
      <c r="A43" s="3006"/>
      <c r="B43" s="448"/>
      <c r="D43" s="602" t="s">
        <v>377</v>
      </c>
      <c r="E43" s="604" t="s">
        <v>912</v>
      </c>
      <c r="F43" s="958" t="s">
        <v>604</v>
      </c>
      <c r="G43" s="679"/>
      <c r="H43" s="953"/>
      <c r="I43" s="679"/>
      <c r="J43" s="953"/>
      <c r="K43" s="240" t="s">
        <v>913</v>
      </c>
      <c r="X43" s="693">
        <v>0</v>
      </c>
    </row>
    <row r="44" spans="1:24" s="1562" customFormat="1" ht="11.25" hidden="1" customHeight="1">
      <c r="A44" s="3006"/>
      <c r="B44" s="448"/>
      <c r="D44" s="602" t="s">
        <v>96</v>
      </c>
      <c r="E44" s="603" t="s">
        <v>914</v>
      </c>
      <c r="F44" s="597" t="s">
        <v>904</v>
      </c>
      <c r="G44" s="605"/>
      <c r="H44" s="953"/>
      <c r="I44" s="605"/>
      <c r="J44" s="953"/>
      <c r="K44" s="227"/>
      <c r="X44" s="693">
        <v>0</v>
      </c>
    </row>
    <row r="45" spans="1:24" s="1562" customFormat="1" ht="11.25" hidden="1" customHeight="1">
      <c r="A45" s="3006"/>
      <c r="B45" s="448"/>
      <c r="D45" s="602" t="s">
        <v>799</v>
      </c>
      <c r="E45" s="604" t="s">
        <v>915</v>
      </c>
      <c r="F45" s="597" t="s">
        <v>904</v>
      </c>
      <c r="G45" s="605"/>
      <c r="H45" s="953"/>
      <c r="I45" s="605"/>
      <c r="J45" s="953"/>
      <c r="K45" s="227"/>
      <c r="X45" s="693">
        <v>0</v>
      </c>
    </row>
    <row r="46" spans="1:24" s="1562" customFormat="1" ht="11.25" hidden="1" customHeight="1">
      <c r="A46" s="3006"/>
      <c r="B46" s="448"/>
      <c r="D46" s="602" t="s">
        <v>841</v>
      </c>
      <c r="E46" s="604" t="s">
        <v>916</v>
      </c>
      <c r="F46" s="597" t="s">
        <v>904</v>
      </c>
      <c r="G46" s="605"/>
      <c r="H46" s="953"/>
      <c r="I46" s="605"/>
      <c r="J46" s="953"/>
      <c r="K46" s="227"/>
      <c r="X46" s="693">
        <v>0</v>
      </c>
    </row>
    <row r="47" spans="1:24" s="1562" customFormat="1" ht="11.25" hidden="1" customHeight="1">
      <c r="A47" s="3006"/>
      <c r="B47" s="448"/>
      <c r="D47" s="602" t="s">
        <v>844</v>
      </c>
      <c r="E47" s="604" t="s">
        <v>917</v>
      </c>
      <c r="F47" s="597" t="s">
        <v>904</v>
      </c>
      <c r="G47" s="605"/>
      <c r="H47" s="953"/>
      <c r="I47" s="605"/>
      <c r="J47" s="953"/>
      <c r="K47" s="227"/>
      <c r="X47" s="693">
        <v>0</v>
      </c>
    </row>
    <row r="48" spans="1:24" s="1562" customFormat="1" ht="11.25" hidden="1" customHeight="1">
      <c r="A48" s="3006"/>
      <c r="B48" s="448"/>
      <c r="D48" s="602" t="s">
        <v>918</v>
      </c>
      <c r="E48" s="608" t="s">
        <v>919</v>
      </c>
      <c r="F48" s="597" t="s">
        <v>904</v>
      </c>
      <c r="G48" s="605"/>
      <c r="H48" s="953"/>
      <c r="I48" s="605"/>
      <c r="J48" s="953"/>
      <c r="K48" s="227"/>
      <c r="X48" s="693">
        <v>0</v>
      </c>
    </row>
    <row r="49" spans="1:24" s="1562" customFormat="1" ht="11.25" hidden="1" customHeight="1">
      <c r="A49" s="3006"/>
      <c r="B49" s="448"/>
      <c r="D49" s="602" t="s">
        <v>920</v>
      </c>
      <c r="E49" s="608" t="s">
        <v>921</v>
      </c>
      <c r="F49" s="597" t="s">
        <v>904</v>
      </c>
      <c r="G49" s="605"/>
      <c r="H49" s="953"/>
      <c r="I49" s="605"/>
      <c r="J49" s="953"/>
      <c r="K49" s="227"/>
      <c r="X49" s="693">
        <v>0</v>
      </c>
    </row>
    <row r="50" spans="1:24" s="1562" customFormat="1" ht="11.25" hidden="1" customHeight="1">
      <c r="A50" s="3006"/>
      <c r="B50" s="448"/>
      <c r="D50" s="602" t="s">
        <v>922</v>
      </c>
      <c r="E50" s="604" t="s">
        <v>923</v>
      </c>
      <c r="F50" s="597" t="s">
        <v>904</v>
      </c>
      <c r="G50" s="605"/>
      <c r="H50" s="953"/>
      <c r="I50" s="605"/>
      <c r="J50" s="953"/>
      <c r="K50" s="227"/>
      <c r="X50" s="693">
        <v>0</v>
      </c>
    </row>
    <row r="51" spans="1:24" s="1562" customFormat="1" ht="11.25" hidden="1" customHeight="1">
      <c r="A51" s="3006"/>
      <c r="B51" s="448"/>
      <c r="D51" s="602" t="s">
        <v>924</v>
      </c>
      <c r="E51" s="604" t="s">
        <v>925</v>
      </c>
      <c r="F51" s="597" t="s">
        <v>904</v>
      </c>
      <c r="G51" s="605"/>
      <c r="H51" s="953"/>
      <c r="I51" s="605"/>
      <c r="J51" s="953"/>
      <c r="K51" s="227"/>
      <c r="X51" s="693">
        <v>0</v>
      </c>
    </row>
    <row r="52" spans="1:24" s="1562" customFormat="1" ht="45" hidden="1" customHeight="1">
      <c r="A52" s="3006"/>
      <c r="B52" s="448"/>
      <c r="D52" s="602" t="s">
        <v>116</v>
      </c>
      <c r="E52" s="603" t="s">
        <v>926</v>
      </c>
      <c r="F52" s="597" t="s">
        <v>904</v>
      </c>
      <c r="G52" s="605"/>
      <c r="H52" s="953"/>
      <c r="I52" s="605"/>
      <c r="J52" s="953"/>
      <c r="K52" s="227"/>
      <c r="X52" s="693">
        <v>0</v>
      </c>
    </row>
    <row r="53" spans="1:24" s="1562" customFormat="1" ht="11.25" hidden="1" customHeight="1">
      <c r="A53" s="3006"/>
      <c r="B53" s="448"/>
      <c r="D53" s="602" t="s">
        <v>358</v>
      </c>
      <c r="E53" s="604" t="s">
        <v>915</v>
      </c>
      <c r="F53" s="597" t="s">
        <v>904</v>
      </c>
      <c r="G53" s="605"/>
      <c r="H53" s="953"/>
      <c r="I53" s="605"/>
      <c r="J53" s="953"/>
      <c r="K53" s="227"/>
      <c r="X53" s="693">
        <v>0</v>
      </c>
    </row>
    <row r="54" spans="1:24" s="1562" customFormat="1" ht="11.25" hidden="1" customHeight="1">
      <c r="A54" s="3006"/>
      <c r="B54" s="448"/>
      <c r="D54" s="602" t="s">
        <v>927</v>
      </c>
      <c r="E54" s="604" t="s">
        <v>916</v>
      </c>
      <c r="F54" s="597" t="s">
        <v>904</v>
      </c>
      <c r="G54" s="605"/>
      <c r="H54" s="953"/>
      <c r="I54" s="605"/>
      <c r="J54" s="953"/>
      <c r="K54" s="227"/>
      <c r="X54" s="693">
        <v>0</v>
      </c>
    </row>
    <row r="55" spans="1:24" s="1562" customFormat="1" ht="11.25" hidden="1" customHeight="1">
      <c r="A55" s="3006"/>
      <c r="B55" s="448"/>
      <c r="D55" s="602" t="s">
        <v>928</v>
      </c>
      <c r="E55" s="604" t="s">
        <v>917</v>
      </c>
      <c r="F55" s="597" t="s">
        <v>904</v>
      </c>
      <c r="G55" s="605"/>
      <c r="H55" s="953"/>
      <c r="I55" s="605"/>
      <c r="J55" s="953"/>
      <c r="K55" s="227"/>
      <c r="X55" s="693">
        <v>0</v>
      </c>
    </row>
    <row r="56" spans="1:24" s="1562" customFormat="1" ht="11.25" hidden="1" customHeight="1">
      <c r="A56" s="3006"/>
      <c r="B56" s="448"/>
      <c r="D56" s="602" t="s">
        <v>929</v>
      </c>
      <c r="E56" s="608" t="s">
        <v>919</v>
      </c>
      <c r="F56" s="597" t="s">
        <v>904</v>
      </c>
      <c r="G56" s="605"/>
      <c r="H56" s="953"/>
      <c r="I56" s="605"/>
      <c r="J56" s="953"/>
      <c r="K56" s="227"/>
      <c r="X56" s="693">
        <v>0</v>
      </c>
    </row>
    <row r="57" spans="1:24" s="1562" customFormat="1" ht="11.25" hidden="1" customHeight="1">
      <c r="A57" s="3006"/>
      <c r="B57" s="448"/>
      <c r="D57" s="602" t="s">
        <v>930</v>
      </c>
      <c r="E57" s="608" t="s">
        <v>921</v>
      </c>
      <c r="F57" s="597" t="s">
        <v>904</v>
      </c>
      <c r="G57" s="605"/>
      <c r="H57" s="953"/>
      <c r="I57" s="605"/>
      <c r="J57" s="953"/>
      <c r="K57" s="227"/>
      <c r="X57" s="693">
        <v>0</v>
      </c>
    </row>
    <row r="58" spans="1:24" s="1562" customFormat="1" ht="11.25" hidden="1" customHeight="1">
      <c r="A58" s="3006"/>
      <c r="B58" s="448"/>
      <c r="D58" s="602" t="s">
        <v>931</v>
      </c>
      <c r="E58" s="604" t="s">
        <v>923</v>
      </c>
      <c r="F58" s="597" t="s">
        <v>904</v>
      </c>
      <c r="G58" s="605"/>
      <c r="H58" s="953"/>
      <c r="I58" s="605"/>
      <c r="J58" s="953"/>
      <c r="K58" s="227"/>
      <c r="X58" s="693">
        <v>0</v>
      </c>
    </row>
    <row r="59" spans="1:24" s="1562" customFormat="1" ht="11.25" hidden="1" customHeight="1">
      <c r="A59" s="3006"/>
      <c r="B59" s="448"/>
      <c r="D59" s="602" t="s">
        <v>932</v>
      </c>
      <c r="E59" s="604" t="s">
        <v>925</v>
      </c>
      <c r="F59" s="597" t="s">
        <v>904</v>
      </c>
      <c r="G59" s="605"/>
      <c r="H59" s="953"/>
      <c r="I59" s="605"/>
      <c r="J59" s="953"/>
      <c r="K59" s="227"/>
      <c r="X59" s="693">
        <v>0</v>
      </c>
    </row>
    <row r="60" spans="1:24" s="1562" customFormat="1" ht="33.75" hidden="1" customHeight="1">
      <c r="A60" s="3006"/>
      <c r="B60" s="448"/>
      <c r="D60" s="602" t="s">
        <v>97</v>
      </c>
      <c r="E60" s="603" t="s">
        <v>933</v>
      </c>
      <c r="F60" s="658" t="s">
        <v>604</v>
      </c>
      <c r="G60" s="679"/>
      <c r="H60" s="953"/>
      <c r="I60" s="679"/>
      <c r="J60" s="953"/>
      <c r="K60" s="240" t="s">
        <v>934</v>
      </c>
      <c r="X60" s="693">
        <v>0</v>
      </c>
    </row>
    <row r="61" spans="1:24" s="1562" customFormat="1" ht="33.75" hidden="1" customHeight="1">
      <c r="A61" s="3006"/>
      <c r="B61" s="448"/>
      <c r="D61" s="602" t="s">
        <v>98</v>
      </c>
      <c r="E61" s="603" t="s">
        <v>935</v>
      </c>
      <c r="F61" s="663" t="s">
        <v>865</v>
      </c>
      <c r="G61" s="605"/>
      <c r="H61" s="953"/>
      <c r="I61" s="605"/>
      <c r="J61" s="953"/>
      <c r="K61" s="227"/>
      <c r="X61" s="693">
        <v>0</v>
      </c>
    </row>
    <row r="62" spans="1:24" s="1562" customFormat="1" ht="22.5" hidden="1" customHeight="1">
      <c r="A62" s="3006"/>
      <c r="B62" s="448" t="s">
        <v>634</v>
      </c>
      <c r="D62" s="602" t="s">
        <v>117</v>
      </c>
      <c r="E62" s="603" t="s">
        <v>936</v>
      </c>
      <c r="F62" s="663" t="s">
        <v>351</v>
      </c>
      <c r="G62" s="319"/>
      <c r="H62" s="953"/>
      <c r="I62" s="319"/>
      <c r="J62" s="953"/>
      <c r="K62" s="227" t="s">
        <v>677</v>
      </c>
      <c r="X62" s="693">
        <v>0</v>
      </c>
    </row>
    <row r="63" spans="1:24" s="1562" customFormat="1" ht="45" hidden="1" customHeight="1">
      <c r="A63" s="3006"/>
      <c r="B63" s="448" t="s">
        <v>634</v>
      </c>
      <c r="D63" s="602" t="s">
        <v>937</v>
      </c>
      <c r="E63" s="604" t="s">
        <v>938</v>
      </c>
      <c r="F63" s="658" t="s">
        <v>351</v>
      </c>
      <c r="G63" s="319"/>
      <c r="H63" s="953"/>
      <c r="I63" s="319"/>
      <c r="J63" s="953"/>
      <c r="K63" s="227" t="s">
        <v>677</v>
      </c>
      <c r="X63" s="693">
        <v>0</v>
      </c>
    </row>
    <row r="64" spans="1:24" s="1562" customFormat="1" ht="11.25" customHeight="1">
      <c r="A64" s="963"/>
      <c r="B64" s="455"/>
      <c r="D64" s="964"/>
      <c r="E64" s="965"/>
      <c r="X64" s="446">
        <v>11</v>
      </c>
    </row>
    <row r="65" spans="1:24" s="1562" customFormat="1" ht="22.5" hidden="1" customHeight="1">
      <c r="A65" s="3006" t="s">
        <v>939</v>
      </c>
      <c r="B65" s="448"/>
      <c r="D65" s="602">
        <v>1</v>
      </c>
      <c r="E65" s="681" t="s">
        <v>940</v>
      </c>
      <c r="F65" s="677" t="s">
        <v>855</v>
      </c>
      <c r="G65" s="678"/>
      <c r="H65" s="959"/>
      <c r="I65" s="678"/>
      <c r="J65" s="959"/>
      <c r="K65" s="239" t="s">
        <v>941</v>
      </c>
      <c r="X65" s="693">
        <v>0</v>
      </c>
    </row>
    <row r="66" spans="1:24" s="1562" customFormat="1" ht="56.25" hidden="1" customHeight="1">
      <c r="A66" s="3006"/>
      <c r="B66" s="448"/>
      <c r="D66" s="680" t="s">
        <v>115</v>
      </c>
      <c r="E66" s="644" t="s">
        <v>942</v>
      </c>
      <c r="F66" s="597" t="s">
        <v>592</v>
      </c>
      <c r="G66" s="597" t="s">
        <v>592</v>
      </c>
      <c r="H66" s="456"/>
      <c r="I66" s="597" t="s">
        <v>592</v>
      </c>
      <c r="J66" s="456"/>
      <c r="K66" s="227"/>
      <c r="X66" s="693">
        <v>0</v>
      </c>
    </row>
    <row r="67" spans="1:24" s="1562" customFormat="1" ht="33.75" hidden="1" customHeight="1">
      <c r="A67" s="3006"/>
      <c r="B67" s="448"/>
      <c r="D67" s="680" t="s">
        <v>754</v>
      </c>
      <c r="E67" s="884" t="s">
        <v>943</v>
      </c>
      <c r="F67" s="597" t="s">
        <v>907</v>
      </c>
      <c r="G67" s="664"/>
      <c r="H67" s="456"/>
      <c r="I67" s="664"/>
      <c r="J67" s="456"/>
      <c r="K67" s="227"/>
      <c r="X67" s="693">
        <v>0</v>
      </c>
    </row>
    <row r="68" spans="1:24" s="1562" customFormat="1" ht="22.5" hidden="1" customHeight="1">
      <c r="A68" s="3006"/>
      <c r="B68" s="448"/>
      <c r="D68" s="680" t="s">
        <v>352</v>
      </c>
      <c r="E68" s="884" t="s">
        <v>944</v>
      </c>
      <c r="F68" s="597" t="s">
        <v>907</v>
      </c>
      <c r="G68" s="664"/>
      <c r="H68" s="456"/>
      <c r="I68" s="664"/>
      <c r="J68" s="456"/>
      <c r="K68" s="227"/>
      <c r="X68" s="693">
        <v>0</v>
      </c>
    </row>
    <row r="69" spans="1:24" s="1562" customFormat="1" ht="22.5" hidden="1" customHeight="1">
      <c r="A69" s="3006"/>
      <c r="B69" s="448"/>
      <c r="D69" s="680" t="s">
        <v>355</v>
      </c>
      <c r="E69" s="884" t="s">
        <v>945</v>
      </c>
      <c r="F69" s="658" t="s">
        <v>604</v>
      </c>
      <c r="G69" s="679"/>
      <c r="H69" s="456"/>
      <c r="I69" s="679"/>
      <c r="J69" s="456"/>
      <c r="K69" s="227"/>
      <c r="X69" s="693">
        <v>0</v>
      </c>
    </row>
    <row r="70" spans="1:24" s="1562" customFormat="1" ht="22.5" hidden="1" customHeight="1">
      <c r="A70" s="3006"/>
      <c r="B70" s="448"/>
      <c r="D70" s="680" t="s">
        <v>774</v>
      </c>
      <c r="E70" s="884" t="s">
        <v>946</v>
      </c>
      <c r="F70" s="658" t="s">
        <v>604</v>
      </c>
      <c r="G70" s="679"/>
      <c r="H70" s="456"/>
      <c r="I70" s="679"/>
      <c r="J70" s="456"/>
      <c r="K70" s="227"/>
      <c r="X70" s="693">
        <v>0</v>
      </c>
    </row>
    <row r="71" spans="1:24" s="1562" customFormat="1" ht="22.5" hidden="1" customHeight="1">
      <c r="A71" s="3006"/>
      <c r="B71" s="448"/>
      <c r="D71" s="602" t="s">
        <v>95</v>
      </c>
      <c r="E71" s="603" t="s">
        <v>947</v>
      </c>
      <c r="F71" s="597" t="s">
        <v>907</v>
      </c>
      <c r="G71" s="494"/>
      <c r="H71" s="960"/>
      <c r="I71" s="494"/>
      <c r="J71" s="960"/>
      <c r="K71" s="240"/>
      <c r="X71" s="693">
        <v>0</v>
      </c>
    </row>
    <row r="72" spans="1:24" s="1562" customFormat="1" ht="56.25" hidden="1" customHeight="1">
      <c r="A72" s="3006"/>
      <c r="B72" s="448"/>
      <c r="D72" s="602" t="s">
        <v>96</v>
      </c>
      <c r="E72" s="603" t="s">
        <v>948</v>
      </c>
      <c r="F72" s="658" t="s">
        <v>604</v>
      </c>
      <c r="G72" s="679"/>
      <c r="H72" s="953"/>
      <c r="I72" s="679"/>
      <c r="J72" s="953"/>
      <c r="K72" s="240"/>
      <c r="X72" s="693">
        <v>0</v>
      </c>
    </row>
    <row r="73" spans="1:24" s="1562" customFormat="1" ht="33.75" hidden="1" customHeight="1">
      <c r="A73" s="3006"/>
      <c r="B73" s="448"/>
      <c r="D73" s="602" t="s">
        <v>116</v>
      </c>
      <c r="E73" s="603" t="s">
        <v>949</v>
      </c>
      <c r="F73" s="663" t="s">
        <v>865</v>
      </c>
      <c r="G73" s="605"/>
      <c r="H73" s="953"/>
      <c r="I73" s="605"/>
      <c r="J73" s="953"/>
      <c r="K73" s="227"/>
      <c r="X73" s="693">
        <v>0</v>
      </c>
    </row>
    <row r="74" spans="1:24" s="1562" customFormat="1" ht="22.5" hidden="1" customHeight="1">
      <c r="A74" s="3006"/>
      <c r="B74" s="448" t="s">
        <v>634</v>
      </c>
      <c r="D74" s="602" t="s">
        <v>97</v>
      </c>
      <c r="E74" s="603" t="s">
        <v>950</v>
      </c>
      <c r="F74" s="663" t="s">
        <v>351</v>
      </c>
      <c r="G74" s="319"/>
      <c r="H74" s="953"/>
      <c r="I74" s="319"/>
      <c r="J74" s="953"/>
      <c r="K74" s="227" t="s">
        <v>677</v>
      </c>
      <c r="X74" s="693">
        <v>0</v>
      </c>
    </row>
    <row r="75" spans="1:24" s="1562" customFormat="1" ht="45" hidden="1" customHeight="1">
      <c r="A75" s="3006"/>
      <c r="B75" s="448" t="s">
        <v>634</v>
      </c>
      <c r="D75" s="602" t="s">
        <v>698</v>
      </c>
      <c r="E75" s="604" t="s">
        <v>951</v>
      </c>
      <c r="F75" s="658" t="s">
        <v>351</v>
      </c>
      <c r="G75" s="319"/>
      <c r="H75" s="953"/>
      <c r="I75" s="319"/>
      <c r="J75" s="953"/>
      <c r="K75" s="227" t="s">
        <v>677</v>
      </c>
      <c r="X75" s="693">
        <v>0</v>
      </c>
    </row>
    <row r="76" spans="1:24" s="1562" customFormat="1" ht="11.25" customHeight="1">
      <c r="A76" s="963"/>
      <c r="B76" s="455"/>
      <c r="D76" s="964"/>
      <c r="E76" s="965"/>
      <c r="X76" s="446">
        <v>11</v>
      </c>
    </row>
    <row r="77" spans="1:24" s="1562" customFormat="1" ht="11.25" hidden="1" customHeight="1">
      <c r="A77" s="3006" t="s">
        <v>952</v>
      </c>
      <c r="B77" s="448"/>
      <c r="D77" s="602">
        <v>1</v>
      </c>
      <c r="E77" s="603" t="s">
        <v>953</v>
      </c>
      <c r="F77" s="658" t="s">
        <v>855</v>
      </c>
      <c r="G77" s="661"/>
      <c r="H77" s="953"/>
      <c r="I77" s="661"/>
      <c r="J77" s="953"/>
      <c r="K77" s="227" t="s">
        <v>954</v>
      </c>
      <c r="X77" s="693">
        <v>0</v>
      </c>
    </row>
    <row r="78" spans="1:24" s="1562" customFormat="1" ht="11.25" hidden="1" customHeight="1">
      <c r="A78" s="3006"/>
      <c r="B78" s="448"/>
      <c r="D78" s="602" t="s">
        <v>115</v>
      </c>
      <c r="E78" s="603" t="s">
        <v>955</v>
      </c>
      <c r="F78" s="658" t="s">
        <v>855</v>
      </c>
      <c r="G78" s="661"/>
      <c r="H78" s="953"/>
      <c r="I78" s="661"/>
      <c r="J78" s="953"/>
      <c r="K78" s="227" t="s">
        <v>956</v>
      </c>
      <c r="X78" s="693">
        <v>0</v>
      </c>
    </row>
    <row r="79" spans="1:24" s="1562" customFormat="1" ht="22.5" hidden="1" customHeight="1">
      <c r="A79" s="3006"/>
      <c r="B79" s="448"/>
      <c r="D79" s="602" t="s">
        <v>95</v>
      </c>
      <c r="E79" s="659" t="s">
        <v>957</v>
      </c>
      <c r="F79" s="597" t="s">
        <v>904</v>
      </c>
      <c r="G79" s="661"/>
      <c r="H79" s="953"/>
      <c r="I79" s="661"/>
      <c r="J79" s="953"/>
      <c r="K79" s="227" t="s">
        <v>958</v>
      </c>
      <c r="X79" s="693">
        <v>0</v>
      </c>
    </row>
    <row r="80" spans="1:24" s="1562" customFormat="1" ht="11.25" hidden="1" customHeight="1">
      <c r="A80" s="3006"/>
      <c r="B80" s="448"/>
      <c r="D80" s="602" t="s">
        <v>369</v>
      </c>
      <c r="E80" s="660" t="s">
        <v>959</v>
      </c>
      <c r="F80" s="597" t="s">
        <v>904</v>
      </c>
      <c r="G80" s="661"/>
      <c r="H80" s="953"/>
      <c r="I80" s="661"/>
      <c r="J80" s="953"/>
      <c r="K80" s="227"/>
      <c r="X80" s="693">
        <v>0</v>
      </c>
    </row>
    <row r="81" spans="1:24" s="1562" customFormat="1" ht="11.25" hidden="1" customHeight="1">
      <c r="A81" s="3006"/>
      <c r="B81" s="448"/>
      <c r="D81" s="602" t="s">
        <v>377</v>
      </c>
      <c r="E81" s="660" t="s">
        <v>960</v>
      </c>
      <c r="F81" s="597" t="s">
        <v>904</v>
      </c>
      <c r="G81" s="661"/>
      <c r="H81" s="953"/>
      <c r="I81" s="661"/>
      <c r="J81" s="953"/>
      <c r="K81" s="227"/>
      <c r="X81" s="693">
        <v>0</v>
      </c>
    </row>
    <row r="82" spans="1:24" s="1562" customFormat="1" ht="11.25" hidden="1" customHeight="1">
      <c r="A82" s="3006"/>
      <c r="B82" s="448"/>
      <c r="D82" s="602" t="s">
        <v>379</v>
      </c>
      <c r="E82" s="660" t="s">
        <v>961</v>
      </c>
      <c r="F82" s="597" t="s">
        <v>904</v>
      </c>
      <c r="G82" s="661"/>
      <c r="H82" s="953"/>
      <c r="I82" s="661"/>
      <c r="J82" s="953"/>
      <c r="K82" s="227"/>
      <c r="X82" s="693">
        <v>0</v>
      </c>
    </row>
    <row r="83" spans="1:24" s="1562" customFormat="1" ht="11.25" hidden="1" customHeight="1">
      <c r="A83" s="3006"/>
      <c r="B83" s="448"/>
      <c r="D83" s="602" t="s">
        <v>381</v>
      </c>
      <c r="E83" s="660" t="s">
        <v>962</v>
      </c>
      <c r="F83" s="597" t="s">
        <v>904</v>
      </c>
      <c r="G83" s="661"/>
      <c r="H83" s="953"/>
      <c r="I83" s="661"/>
      <c r="J83" s="953"/>
      <c r="K83" s="227"/>
      <c r="X83" s="693">
        <v>0</v>
      </c>
    </row>
    <row r="84" spans="1:24" s="1562" customFormat="1" ht="11.25" hidden="1" customHeight="1">
      <c r="A84" s="3006"/>
      <c r="B84" s="448"/>
      <c r="D84" s="602" t="s">
        <v>963</v>
      </c>
      <c r="E84" s="660" t="s">
        <v>964</v>
      </c>
      <c r="F84" s="597" t="s">
        <v>904</v>
      </c>
      <c r="G84" s="661"/>
      <c r="H84" s="953"/>
      <c r="I84" s="661"/>
      <c r="J84" s="953"/>
      <c r="K84" s="227"/>
      <c r="X84" s="693">
        <v>0</v>
      </c>
    </row>
    <row r="85" spans="1:24" s="1562" customFormat="1" ht="11.25" hidden="1" customHeight="1">
      <c r="A85" s="3006"/>
      <c r="B85" s="448"/>
      <c r="D85" s="602" t="s">
        <v>965</v>
      </c>
      <c r="E85" s="660" t="s">
        <v>966</v>
      </c>
      <c r="F85" s="597" t="s">
        <v>904</v>
      </c>
      <c r="G85" s="661"/>
      <c r="H85" s="953"/>
      <c r="I85" s="661"/>
      <c r="J85" s="953"/>
      <c r="K85" s="227"/>
      <c r="X85" s="693">
        <v>0</v>
      </c>
    </row>
    <row r="86" spans="1:24" s="1562" customFormat="1" ht="11.25" hidden="1" customHeight="1">
      <c r="A86" s="3006"/>
      <c r="B86" s="448"/>
      <c r="D86" s="602" t="s">
        <v>967</v>
      </c>
      <c r="E86" s="660" t="s">
        <v>968</v>
      </c>
      <c r="F86" s="597" t="s">
        <v>904</v>
      </c>
      <c r="G86" s="661"/>
      <c r="H86" s="953"/>
      <c r="I86" s="661"/>
      <c r="J86" s="953"/>
      <c r="K86" s="227"/>
      <c r="X86" s="693">
        <v>0</v>
      </c>
    </row>
    <row r="87" spans="1:24" s="1562" customFormat="1" ht="45" hidden="1" customHeight="1">
      <c r="A87" s="3006"/>
      <c r="B87" s="448"/>
      <c r="D87" s="602" t="s">
        <v>96</v>
      </c>
      <c r="E87" s="603" t="s">
        <v>969</v>
      </c>
      <c r="F87" s="597" t="s">
        <v>904</v>
      </c>
      <c r="G87" s="661"/>
      <c r="H87" s="953"/>
      <c r="I87" s="661"/>
      <c r="J87" s="953"/>
      <c r="K87" s="227" t="s">
        <v>970</v>
      </c>
      <c r="X87" s="693">
        <v>0</v>
      </c>
    </row>
    <row r="88" spans="1:24" s="1562" customFormat="1" ht="11.25" hidden="1" customHeight="1">
      <c r="A88" s="3006"/>
      <c r="B88" s="448"/>
      <c r="D88" s="602" t="s">
        <v>799</v>
      </c>
      <c r="E88" s="660" t="s">
        <v>959</v>
      </c>
      <c r="F88" s="597" t="s">
        <v>904</v>
      </c>
      <c r="G88" s="661"/>
      <c r="H88" s="953"/>
      <c r="I88" s="661"/>
      <c r="J88" s="953"/>
      <c r="K88" s="227"/>
      <c r="X88" s="693">
        <v>0</v>
      </c>
    </row>
    <row r="89" spans="1:24" s="1562" customFormat="1" ht="11.25" hidden="1" customHeight="1">
      <c r="A89" s="3006"/>
      <c r="B89" s="448"/>
      <c r="D89" s="602" t="s">
        <v>841</v>
      </c>
      <c r="E89" s="660" t="s">
        <v>960</v>
      </c>
      <c r="F89" s="597" t="s">
        <v>904</v>
      </c>
      <c r="G89" s="661"/>
      <c r="H89" s="953"/>
      <c r="I89" s="661"/>
      <c r="J89" s="953"/>
      <c r="K89" s="227"/>
      <c r="X89" s="693">
        <v>0</v>
      </c>
    </row>
    <row r="90" spans="1:24" s="1562" customFormat="1" ht="11.25" hidden="1" customHeight="1">
      <c r="A90" s="3006"/>
      <c r="B90" s="448"/>
      <c r="D90" s="602" t="s">
        <v>844</v>
      </c>
      <c r="E90" s="660" t="s">
        <v>961</v>
      </c>
      <c r="F90" s="597" t="s">
        <v>904</v>
      </c>
      <c r="G90" s="661"/>
      <c r="H90" s="953"/>
      <c r="I90" s="661"/>
      <c r="J90" s="953"/>
      <c r="K90" s="227"/>
      <c r="X90" s="693">
        <v>0</v>
      </c>
    </row>
    <row r="91" spans="1:24" s="1562" customFormat="1" ht="11.25" hidden="1" customHeight="1">
      <c r="A91" s="3006"/>
      <c r="B91" s="448"/>
      <c r="D91" s="602" t="s">
        <v>922</v>
      </c>
      <c r="E91" s="660" t="s">
        <v>962</v>
      </c>
      <c r="F91" s="597" t="s">
        <v>904</v>
      </c>
      <c r="G91" s="661"/>
      <c r="H91" s="953"/>
      <c r="I91" s="661"/>
      <c r="J91" s="953"/>
      <c r="K91" s="227"/>
      <c r="X91" s="693">
        <v>0</v>
      </c>
    </row>
    <row r="92" spans="1:24" s="1562" customFormat="1" ht="11.25" hidden="1" customHeight="1">
      <c r="A92" s="3006"/>
      <c r="B92" s="448"/>
      <c r="D92" s="602" t="s">
        <v>924</v>
      </c>
      <c r="E92" s="660" t="s">
        <v>964</v>
      </c>
      <c r="F92" s="597" t="s">
        <v>904</v>
      </c>
      <c r="G92" s="661"/>
      <c r="H92" s="953"/>
      <c r="I92" s="661"/>
      <c r="J92" s="953"/>
      <c r="K92" s="227"/>
      <c r="X92" s="693">
        <v>0</v>
      </c>
    </row>
    <row r="93" spans="1:24" s="1562" customFormat="1" ht="11.25" hidden="1" customHeight="1">
      <c r="A93" s="3006"/>
      <c r="B93" s="448"/>
      <c r="D93" s="602" t="s">
        <v>971</v>
      </c>
      <c r="E93" s="660" t="s">
        <v>966</v>
      </c>
      <c r="F93" s="597" t="s">
        <v>904</v>
      </c>
      <c r="G93" s="661"/>
      <c r="H93" s="953"/>
      <c r="I93" s="661"/>
      <c r="J93" s="953"/>
      <c r="K93" s="227"/>
      <c r="X93" s="693">
        <v>0</v>
      </c>
    </row>
    <row r="94" spans="1:24" s="1562" customFormat="1" ht="11.25" hidden="1" customHeight="1">
      <c r="A94" s="3006"/>
      <c r="B94" s="448"/>
      <c r="D94" s="602" t="s">
        <v>972</v>
      </c>
      <c r="E94" s="660" t="s">
        <v>968</v>
      </c>
      <c r="F94" s="597" t="s">
        <v>904</v>
      </c>
      <c r="G94" s="661"/>
      <c r="H94" s="953"/>
      <c r="I94" s="661"/>
      <c r="J94" s="953"/>
      <c r="K94" s="227"/>
      <c r="X94" s="693">
        <v>0</v>
      </c>
    </row>
    <row r="95" spans="1:24" s="1562" customFormat="1" ht="24.75" hidden="1" customHeight="1">
      <c r="A95" s="3006"/>
      <c r="B95" s="448"/>
      <c r="D95" s="602" t="s">
        <v>116</v>
      </c>
      <c r="E95" s="603" t="s">
        <v>973</v>
      </c>
      <c r="F95" s="662" t="s">
        <v>604</v>
      </c>
      <c r="G95" s="664"/>
      <c r="H95" s="953"/>
      <c r="I95" s="664"/>
      <c r="J95" s="953"/>
      <c r="K95" s="227" t="s">
        <v>974</v>
      </c>
      <c r="X95" s="693">
        <v>0</v>
      </c>
    </row>
    <row r="96" spans="1:24" s="1562" customFormat="1" ht="33.75" hidden="1" customHeight="1">
      <c r="A96" s="3006"/>
      <c r="B96" s="448"/>
      <c r="D96" s="602" t="s">
        <v>97</v>
      </c>
      <c r="E96" s="603" t="s">
        <v>975</v>
      </c>
      <c r="F96" s="663" t="s">
        <v>865</v>
      </c>
      <c r="G96" s="665"/>
      <c r="H96" s="953"/>
      <c r="I96" s="665"/>
      <c r="J96" s="953"/>
      <c r="K96" s="227"/>
      <c r="X96" s="693">
        <v>0</v>
      </c>
    </row>
    <row r="97" spans="1:24" s="1562" customFormat="1" ht="22.5" hidden="1" customHeight="1">
      <c r="A97" s="3006"/>
      <c r="B97" s="448" t="s">
        <v>634</v>
      </c>
      <c r="D97" s="602" t="s">
        <v>98</v>
      </c>
      <c r="E97" s="603" t="s">
        <v>976</v>
      </c>
      <c r="F97" s="663" t="s">
        <v>351</v>
      </c>
      <c r="G97" s="322"/>
      <c r="H97" s="953"/>
      <c r="I97" s="322"/>
      <c r="J97" s="953"/>
      <c r="K97" s="227" t="s">
        <v>677</v>
      </c>
      <c r="X97" s="693">
        <v>0</v>
      </c>
    </row>
    <row r="98" spans="1:24" s="1562" customFormat="1" ht="45" hidden="1" customHeight="1">
      <c r="A98" s="3006"/>
      <c r="B98" s="448" t="s">
        <v>634</v>
      </c>
      <c r="D98" s="602" t="s">
        <v>977</v>
      </c>
      <c r="E98" s="604" t="s">
        <v>978</v>
      </c>
      <c r="F98" s="658" t="s">
        <v>351</v>
      </c>
      <c r="G98" s="322"/>
      <c r="H98" s="953"/>
      <c r="I98" s="322"/>
      <c r="J98" s="953"/>
      <c r="K98" s="227" t="s">
        <v>677</v>
      </c>
      <c r="X98" s="693">
        <v>0</v>
      </c>
    </row>
    <row r="99" spans="1:24" s="1562" customFormat="1" ht="95.25" hidden="1" customHeight="1">
      <c r="A99" s="3006"/>
      <c r="B99" s="448" t="s">
        <v>634</v>
      </c>
      <c r="D99" s="602" t="s">
        <v>117</v>
      </c>
      <c r="E99" s="603" t="s">
        <v>979</v>
      </c>
      <c r="F99" s="658" t="s">
        <v>351</v>
      </c>
      <c r="G99" s="322"/>
      <c r="H99" s="953"/>
      <c r="I99" s="322"/>
      <c r="J99" s="953"/>
      <c r="K99" s="227" t="s">
        <v>677</v>
      </c>
      <c r="X99" s="693">
        <v>0</v>
      </c>
    </row>
    <row r="100" spans="1:24" s="1562" customFormat="1" ht="22.5" hidden="1" customHeight="1">
      <c r="A100" s="3006"/>
      <c r="B100" s="448" t="s">
        <v>634</v>
      </c>
      <c r="D100" s="602" t="s">
        <v>153</v>
      </c>
      <c r="E100" s="603" t="s">
        <v>980</v>
      </c>
      <c r="F100" s="658" t="s">
        <v>351</v>
      </c>
      <c r="G100" s="322"/>
      <c r="H100" s="953"/>
      <c r="I100" s="322"/>
      <c r="J100" s="953"/>
      <c r="K100" s="227" t="s">
        <v>677</v>
      </c>
      <c r="X100" s="693">
        <v>0</v>
      </c>
    </row>
    <row r="101" spans="1:24" s="1562" customFormat="1" ht="11.25" customHeight="1">
      <c r="A101" s="963"/>
      <c r="B101" s="455"/>
      <c r="D101" s="964"/>
      <c r="E101" s="965"/>
      <c r="X101" s="446">
        <v>11</v>
      </c>
    </row>
    <row r="102" spans="1:24" ht="22.5" hidden="1" customHeight="1">
      <c r="A102" s="473" t="s">
        <v>87</v>
      </c>
      <c r="B102" s="448">
        <v>0</v>
      </c>
      <c r="C102" s="442">
        <v>3</v>
      </c>
      <c r="D102" s="442">
        <v>7</v>
      </c>
      <c r="E102" s="442">
        <v>69</v>
      </c>
      <c r="F102" s="442">
        <v>10</v>
      </c>
      <c r="G102" s="442">
        <v>0</v>
      </c>
      <c r="H102" s="442">
        <v>0</v>
      </c>
      <c r="I102" s="693">
        <v>43</v>
      </c>
      <c r="J102" s="693">
        <v>43</v>
      </c>
      <c r="K102" s="442">
        <v>73</v>
      </c>
      <c r="L102" s="442">
        <v>3</v>
      </c>
      <c r="M102" s="442">
        <v>10</v>
      </c>
      <c r="N102" s="442">
        <v>10</v>
      </c>
      <c r="O102" s="442">
        <v>10</v>
      </c>
      <c r="P102" s="442">
        <v>10</v>
      </c>
      <c r="Q102" s="442">
        <v>10</v>
      </c>
      <c r="R102" s="442">
        <v>10</v>
      </c>
      <c r="S102" s="442">
        <v>10</v>
      </c>
      <c r="T102" s="442">
        <v>10</v>
      </c>
      <c r="U102" s="442">
        <v>10</v>
      </c>
      <c r="V102" s="442">
        <v>10</v>
      </c>
      <c r="W102" s="442">
        <v>10</v>
      </c>
      <c r="X102" s="442">
        <v>23</v>
      </c>
    </row>
  </sheetData>
  <sheetProtection formatColumns="0" formatRows="0" insertRows="0" deleteColumns="0" deleteRows="0" sort="0" autoFilter="0"/>
  <mergeCells count="18">
    <mergeCell ref="A37:A63"/>
    <mergeCell ref="A65:A75"/>
    <mergeCell ref="A77:A100"/>
    <mergeCell ref="A13:A35"/>
    <mergeCell ref="A11:B11"/>
    <mergeCell ref="D3:F3"/>
    <mergeCell ref="K7:K11"/>
    <mergeCell ref="G7:H7"/>
    <mergeCell ref="E7:F7"/>
    <mergeCell ref="E8:F8"/>
    <mergeCell ref="E9:F9"/>
    <mergeCell ref="G8:H8"/>
    <mergeCell ref="G9:H9"/>
    <mergeCell ref="D4:F4"/>
    <mergeCell ref="I7:J7"/>
    <mergeCell ref="I8:J8"/>
    <mergeCell ref="I9:J9"/>
    <mergeCell ref="D10:J10"/>
  </mergeCells>
  <dataValidations count="6">
    <dataValidation type="textLength" operator="lessThanOrEqual" allowBlank="1" showInputMessage="1" showErrorMessage="1" errorTitle="Ошибка" error="Допускается ввод не более 900 символов!" sqref="H21:H22 H29:H30 H24 H26:H27 H15:H18 J26:J27 J15:J18 J21:J22 J29:J30 J24">
      <formula1>900</formula1>
    </dataValidation>
    <dataValidation type="whole" allowBlank="1" showErrorMessage="1" errorTitle="Ошибка" error="Допускается ввод только неотрицательных целых чисел!" sqref="G16:G17 I16:I17">
      <formula1>0</formula1>
      <formula2>9.99999999999999E+23</formula2>
    </dataValidation>
    <dataValidation type="decimal" allowBlank="1" showErrorMessage="1" errorTitle="Ошибка" error="Допускается ввод только неотрицательных чисел!" sqref="G32 G67:G68 G39:G40 G37 G44:G59 G61 G77:G94 G73 G71 G96 G65 G18 G13:G14 G29:G30 G26:G27 I32 I67:I68 I39:I40 I37 I44:I59 I61 I77:I94 I73 I71 I96 I65 I18 I13:I14 I29:I30 I26:I27 I21:I22 G24 G21:G22 I24">
      <formula1>0</formula1>
      <formula2>9.99999999999999E+23</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1:H32 J31:J32 G62:G63 G74:G75 G97:G100 I62:I63 I74:I75 I97:I100 H13:H14 H19 J19 J13:J14">
      <formula1>900</formula1>
    </dataValidation>
    <dataValidation type="decimal" allowBlank="1" showErrorMessage="1" errorTitle="Ошибка" error="Введите значение от 0 до 100%" sqref="G31 G95 G60 G72 G42:G43 G69:G70 I31 I95 I60 I72 I42:I43 I69:I70">
      <formula1>0</formula1>
      <formula2>100</formula2>
    </dataValidation>
    <dataValidation type="list" allowBlank="1" showInputMessage="1" errorTitle="Ошибка" error="Укажите значение вручную или выберите из списка!" prompt="Укажите значение вручную или выберите из списка" sqref="G19 I19">
      <formula1>"Не утверждены"</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M17"/>
  <sheetViews>
    <sheetView showGridLines="0" zoomScale="90" workbookViewId="0">
      <pane xSplit="4" ySplit="12" topLeftCell="E13" activePane="bottomRight" state="frozen"/>
      <selection pane="topRight" activeCell="E1" sqref="E1"/>
      <selection pane="bottomLeft" activeCell="A13" sqref="A13"/>
      <selection pane="bottomRight"/>
    </sheetView>
  </sheetViews>
  <sheetFormatPr defaultColWidth="9.140625" defaultRowHeight="11.25" customHeight="1"/>
  <cols>
    <col min="1" max="1" width="6.42578125" style="1778" hidden="1" customWidth="1"/>
    <col min="2" max="2" width="2" style="1778" hidden="1" customWidth="1"/>
    <col min="3" max="3" width="3" style="1778" customWidth="1"/>
    <col min="4" max="4" width="4" style="1778" customWidth="1"/>
    <col min="5" max="5" width="44" style="1778" customWidth="1"/>
    <col min="6" max="6" width="6.42578125" style="1778" customWidth="1"/>
    <col min="7" max="7" width="4" style="1778" customWidth="1"/>
    <col min="8" max="8" width="5" style="1778" customWidth="1"/>
    <col min="9" max="9" width="52" style="1778" customWidth="1"/>
    <col min="10" max="10" width="7" style="1778" customWidth="1"/>
    <col min="11" max="11" width="3" style="1778" customWidth="1"/>
    <col min="12" max="12" width="6" style="1778" customWidth="1"/>
    <col min="13" max="13" width="56" style="1778" customWidth="1"/>
    <col min="14" max="14" width="8" style="1297" customWidth="1"/>
    <col min="15" max="20" width="9.140625" style="1551" hidden="1"/>
    <col min="21" max="24" width="9.140625" style="1193" hidden="1"/>
    <col min="25" max="37" width="9.140625" style="1297" hidden="1"/>
    <col min="38" max="38" width="8" style="1297" customWidth="1"/>
    <col min="39" max="39" width="9.140625" style="1778" hidden="1"/>
  </cols>
  <sheetData>
    <row r="1" spans="1:39" ht="11.25" hidden="1" customHeight="1">
      <c r="AM1" s="520" t="s">
        <v>14</v>
      </c>
    </row>
    <row r="2" spans="1:39" ht="11.25" hidden="1" customHeight="1">
      <c r="AM2" s="520">
        <v>0</v>
      </c>
    </row>
    <row r="3" spans="1:39" ht="11.25" customHeight="1">
      <c r="AM3" s="520">
        <v>11</v>
      </c>
    </row>
    <row r="4" spans="1:39" ht="36" customHeight="1">
      <c r="A4" s="522"/>
      <c r="B4" s="522"/>
      <c r="D4" s="2751" t="str">
        <f>Титульный!E5</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E4" s="2752"/>
      <c r="F4" s="2752"/>
      <c r="G4" s="2752"/>
      <c r="H4" s="2752"/>
      <c r="I4" s="2753"/>
      <c r="J4" s="521"/>
      <c r="K4" s="521"/>
      <c r="L4" s="521"/>
      <c r="M4" s="521"/>
      <c r="AM4" s="520">
        <v>34</v>
      </c>
    </row>
    <row r="5" spans="1:39" s="526" customFormat="1" ht="15" customHeight="1">
      <c r="A5" s="522"/>
      <c r="B5" s="522"/>
      <c r="C5" s="522"/>
      <c r="D5" s="2754" t="str">
        <f>IF(org=0,"Не определено",org)</f>
        <v>ТМУП "ТТС"</v>
      </c>
      <c r="E5" s="2755"/>
      <c r="F5" s="2755"/>
      <c r="G5" s="2755"/>
      <c r="H5" s="2755"/>
      <c r="I5" s="2756"/>
      <c r="J5" s="523"/>
      <c r="K5" s="523"/>
      <c r="L5" s="523"/>
      <c r="M5" s="523"/>
      <c r="N5" s="523"/>
      <c r="O5" s="801"/>
      <c r="P5" s="801"/>
      <c r="Q5" s="801"/>
      <c r="R5" s="801"/>
      <c r="S5" s="801"/>
      <c r="T5" s="801"/>
      <c r="U5" s="1188"/>
      <c r="V5" s="1188"/>
      <c r="W5" s="1188"/>
      <c r="X5" s="1188"/>
      <c r="Y5" s="523"/>
      <c r="Z5" s="523"/>
      <c r="AA5" s="523"/>
      <c r="AB5" s="523"/>
      <c r="AC5" s="523"/>
      <c r="AD5" s="523"/>
      <c r="AE5" s="523"/>
      <c r="AF5" s="523"/>
      <c r="AG5" s="523"/>
      <c r="AH5" s="523"/>
      <c r="AI5" s="523"/>
      <c r="AJ5" s="523"/>
      <c r="AK5" s="523"/>
      <c r="AL5" s="523"/>
      <c r="AM5" s="524">
        <v>14</v>
      </c>
    </row>
    <row r="6" spans="1:39" s="526" customFormat="1" ht="6" customHeight="1">
      <c r="A6" s="2743"/>
      <c r="B6" s="2743"/>
      <c r="C6" s="2743"/>
      <c r="D6" s="2743"/>
      <c r="E6" s="2743"/>
      <c r="F6" s="2743"/>
      <c r="G6" s="525"/>
      <c r="H6" s="525"/>
      <c r="I6" s="525"/>
      <c r="J6" s="525"/>
      <c r="K6" s="525"/>
      <c r="N6" s="527"/>
      <c r="O6" s="1341"/>
      <c r="P6" s="1341"/>
      <c r="Q6" s="1341"/>
      <c r="R6" s="1341"/>
      <c r="S6" s="1341"/>
      <c r="T6" s="1341"/>
      <c r="U6" s="1191"/>
      <c r="V6" s="1191"/>
      <c r="W6" s="1191"/>
      <c r="X6" s="1191"/>
      <c r="Y6" s="527"/>
      <c r="Z6" s="527"/>
      <c r="AA6" s="527"/>
      <c r="AB6" s="527"/>
      <c r="AC6" s="527"/>
      <c r="AD6" s="527"/>
      <c r="AE6" s="527"/>
      <c r="AF6" s="527"/>
      <c r="AG6" s="527"/>
      <c r="AH6" s="527"/>
      <c r="AI6" s="527"/>
      <c r="AJ6" s="527"/>
      <c r="AK6" s="527"/>
      <c r="AL6" s="527"/>
      <c r="AM6" s="526">
        <v>6</v>
      </c>
    </row>
    <row r="7" spans="1:39" ht="45.75" hidden="1" customHeight="1">
      <c r="E7" s="2761" t="str">
        <f>"1. В случае дифференциации раскрываемой информации по системам "&amp;TEMPLATE_SPHERE_RUS&amp;" для каждой системы "&amp;TEMPLATE_SPHERE_RUS&amp;"должна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"&amp;TEMPLATE_SPHERE_RUS&amp;"будут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f>
        <v>1. В случае дифференциации раскрываемой информации по системам теплоснабжения для каждой системы теплоснабжениядолжна быть указана территория, в которую входят только те муниципальные районы и муниципальные образования, на которой расположена данная система. На веб-портале РИ системы теплоснабжениябудут отображены во всех МР/МО, входящих в указанную для них территорию.
2. Для каждого вида деятельности также необходимо указывать только те территории, на которых осуществляется данный вид деятельности.</v>
      </c>
      <c r="F7" s="2762"/>
      <c r="G7" s="2762"/>
      <c r="H7" s="2762"/>
      <c r="I7" s="2762"/>
      <c r="J7" s="2762"/>
      <c r="K7" s="2762"/>
      <c r="L7" s="2762"/>
      <c r="M7" s="2762"/>
      <c r="AM7" s="520">
        <v>0</v>
      </c>
    </row>
    <row r="8" spans="1:39" s="526" customFormat="1" ht="6" customHeight="1">
      <c r="A8" s="528"/>
      <c r="B8" s="528"/>
      <c r="C8" s="528"/>
      <c r="D8" s="528"/>
      <c r="E8" s="528"/>
      <c r="F8" s="528"/>
      <c r="G8" s="528"/>
      <c r="H8" s="528"/>
      <c r="I8" s="528"/>
      <c r="J8" s="528"/>
      <c r="K8" s="528"/>
      <c r="L8" s="528"/>
      <c r="N8" s="523"/>
      <c r="O8" s="801"/>
      <c r="P8" s="801"/>
      <c r="Q8" s="801"/>
      <c r="R8" s="801"/>
      <c r="S8" s="801"/>
      <c r="T8" s="801"/>
      <c r="U8" s="1188"/>
      <c r="V8" s="1188"/>
      <c r="W8" s="1188"/>
      <c r="X8" s="1188"/>
      <c r="Y8" s="523"/>
      <c r="Z8" s="523"/>
      <c r="AA8" s="523"/>
      <c r="AB8" s="523"/>
      <c r="AC8" s="523"/>
      <c r="AD8" s="523"/>
      <c r="AE8" s="523"/>
      <c r="AF8" s="523"/>
      <c r="AG8" s="523"/>
      <c r="AH8" s="523"/>
      <c r="AI8" s="523"/>
      <c r="AJ8" s="523"/>
      <c r="AK8" s="523"/>
      <c r="AL8" s="523"/>
      <c r="AM8" s="524">
        <v>6</v>
      </c>
    </row>
    <row r="9" spans="1:39" ht="18.75" customHeight="1">
      <c r="A9" s="2757"/>
      <c r="B9" s="261"/>
      <c r="C9" s="261"/>
      <c r="D9" s="2758" t="s">
        <v>110</v>
      </c>
      <c r="E9" s="2758"/>
      <c r="F9" s="2759" t="s">
        <v>111</v>
      </c>
      <c r="G9" s="2760"/>
      <c r="H9" s="2760"/>
      <c r="I9" s="2760"/>
      <c r="J9" s="2763" t="s">
        <v>112</v>
      </c>
      <c r="K9" s="2763"/>
      <c r="L9" s="2763"/>
      <c r="M9" s="2763"/>
      <c r="AM9" s="520">
        <v>18</v>
      </c>
    </row>
    <row r="10" spans="1:39" ht="24" customHeight="1">
      <c r="A10" s="2757"/>
      <c r="B10" s="529"/>
      <c r="C10" s="462"/>
      <c r="D10" s="460" t="s">
        <v>93</v>
      </c>
      <c r="E10" s="460" t="s">
        <v>94</v>
      </c>
      <c r="F10" s="460" t="s">
        <v>113</v>
      </c>
      <c r="G10" s="2764" t="s">
        <v>93</v>
      </c>
      <c r="H10" s="2765"/>
      <c r="I10" s="460" t="s">
        <v>94</v>
      </c>
      <c r="J10" s="460" t="s">
        <v>113</v>
      </c>
      <c r="K10" s="2764" t="s">
        <v>93</v>
      </c>
      <c r="L10" s="2765"/>
      <c r="M10" s="460" t="s">
        <v>94</v>
      </c>
      <c r="N10" s="1554"/>
      <c r="AM10" s="520">
        <v>23</v>
      </c>
    </row>
    <row r="11" spans="1:39" s="1778" customFormat="1" ht="11.25" hidden="1" customHeight="1">
      <c r="A11" s="530"/>
      <c r="B11" s="530"/>
      <c r="C11" s="530"/>
      <c r="D11" s="531" t="s">
        <v>114</v>
      </c>
      <c r="E11" s="531" t="s">
        <v>115</v>
      </c>
      <c r="F11" s="531" t="s">
        <v>95</v>
      </c>
      <c r="G11" s="2747" t="s">
        <v>96</v>
      </c>
      <c r="H11" s="2748"/>
      <c r="I11" s="531" t="s">
        <v>116</v>
      </c>
      <c r="J11" s="531" t="s">
        <v>97</v>
      </c>
      <c r="K11" s="2749" t="s">
        <v>98</v>
      </c>
      <c r="L11" s="2750"/>
      <c r="M11" s="531" t="s">
        <v>117</v>
      </c>
      <c r="N11" s="1553"/>
      <c r="O11" s="1340"/>
      <c r="P11" s="1342"/>
      <c r="Q11" s="1342"/>
      <c r="R11" s="1342"/>
      <c r="S11" s="1342"/>
      <c r="T11" s="1342"/>
      <c r="U11" s="1192"/>
      <c r="V11" s="1192"/>
      <c r="W11" s="1192"/>
      <c r="X11" s="1192"/>
      <c r="Y11" s="532"/>
      <c r="Z11" s="532"/>
      <c r="AA11" s="532"/>
      <c r="AB11" s="532"/>
      <c r="AC11" s="532"/>
      <c r="AD11" s="532"/>
      <c r="AE11" s="532"/>
      <c r="AF11" s="532"/>
      <c r="AG11" s="532"/>
      <c r="AH11" s="532"/>
      <c r="AI11" s="532"/>
      <c r="AJ11" s="532"/>
      <c r="AK11" s="532"/>
      <c r="AL11" s="532"/>
      <c r="AM11" s="533">
        <v>0</v>
      </c>
    </row>
    <row r="12" spans="1:39" ht="0.75" customHeight="1">
      <c r="A12" s="534"/>
      <c r="B12" s="535"/>
      <c r="C12" s="535"/>
      <c r="D12" s="536"/>
      <c r="E12" s="304"/>
      <c r="F12" s="537"/>
      <c r="G12" s="989"/>
      <c r="H12" s="989"/>
      <c r="I12" s="537"/>
      <c r="J12" s="537"/>
      <c r="K12" s="112"/>
      <c r="L12" s="304"/>
      <c r="M12" s="538"/>
      <c r="N12" s="1554"/>
      <c r="O12" s="1340" t="s">
        <v>118</v>
      </c>
      <c r="P12" s="1340" t="s">
        <v>119</v>
      </c>
      <c r="Q12" s="1340" t="s">
        <v>120</v>
      </c>
      <c r="R12" s="1340" t="s">
        <v>121</v>
      </c>
      <c r="AM12" s="520">
        <v>1</v>
      </c>
    </row>
    <row r="13" spans="1:39" s="1778" customFormat="1" ht="15.75" customHeight="1">
      <c r="A13" s="231"/>
      <c r="B13" s="231"/>
      <c r="C13" s="463"/>
      <c r="D13" s="2769" t="s">
        <v>114</v>
      </c>
      <c r="E13" s="2770"/>
      <c r="F13" s="2773" t="s">
        <v>71</v>
      </c>
      <c r="G13" s="2774"/>
      <c r="H13" s="2775">
        <v>1</v>
      </c>
      <c r="I13" s="2766" t="str">
        <f>IF(U13="","",INDEX(TERRITORY_MR_LIST,MATCH(U13,TERRITORY_LIST_ID,0)))</f>
        <v/>
      </c>
      <c r="J13" s="2768" t="s">
        <v>19</v>
      </c>
      <c r="K13" s="539"/>
      <c r="L13" s="464" t="s">
        <v>114</v>
      </c>
      <c r="M13" s="540" t="s">
        <v>30</v>
      </c>
      <c r="N13" s="743"/>
      <c r="O13" s="1343" t="s">
        <v>122</v>
      </c>
      <c r="P13" s="1340">
        <f>$E$13</f>
        <v>0</v>
      </c>
      <c r="Q13" s="1340" t="str">
        <f>IF($F$13="нет","без дифференциации",$I$13)</f>
        <v/>
      </c>
      <c r="R13" s="1340" t="str">
        <f>IF($J$13="нет","без дифференциации",M13)</f>
        <v>без дифференциации</v>
      </c>
      <c r="S13" s="1343"/>
      <c r="T13" s="1343"/>
      <c r="U13" s="1193"/>
      <c r="V13" s="1193"/>
      <c r="W13" s="1193"/>
      <c r="X13" s="1193"/>
      <c r="Y13" s="541" t="s">
        <v>123</v>
      </c>
      <c r="Z13" s="541">
        <v>1705000</v>
      </c>
      <c r="AA13" s="541"/>
      <c r="AB13" s="541"/>
      <c r="AC13" s="541"/>
      <c r="AD13" s="541"/>
      <c r="AE13" s="541"/>
      <c r="AF13" s="541"/>
      <c r="AG13" s="541"/>
      <c r="AH13" s="541"/>
      <c r="AI13" s="541"/>
      <c r="AJ13" s="541"/>
      <c r="AK13" s="541"/>
      <c r="AL13" s="541"/>
      <c r="AM13" s="543">
        <v>15</v>
      </c>
    </row>
    <row r="14" spans="1:39" s="1778" customFormat="1" ht="15.75" customHeight="1">
      <c r="A14" s="231"/>
      <c r="B14" s="231"/>
      <c r="C14" s="114"/>
      <c r="D14" s="2769"/>
      <c r="E14" s="2771"/>
      <c r="F14" s="2768"/>
      <c r="G14" s="2774"/>
      <c r="H14" s="2775"/>
      <c r="I14" s="2767"/>
      <c r="J14" s="2768"/>
      <c r="K14" s="358"/>
      <c r="L14" s="115"/>
      <c r="M14" s="544" t="s">
        <v>124</v>
      </c>
      <c r="N14" s="743"/>
      <c r="O14" s="1343"/>
      <c r="P14" s="1340"/>
      <c r="Q14" s="1340"/>
      <c r="R14" s="1340"/>
      <c r="S14" s="1343"/>
      <c r="T14" s="1343"/>
      <c r="U14" s="1193"/>
      <c r="V14" s="1193"/>
      <c r="W14" s="1193"/>
      <c r="X14" s="1193"/>
      <c r="Y14" s="541"/>
      <c r="Z14" s="541"/>
      <c r="AA14" s="541"/>
      <c r="AB14" s="541"/>
      <c r="AC14" s="541"/>
      <c r="AD14" s="541"/>
      <c r="AE14" s="541"/>
      <c r="AF14" s="541"/>
      <c r="AG14" s="541"/>
      <c r="AH14" s="541"/>
      <c r="AI14" s="541"/>
      <c r="AJ14" s="541"/>
      <c r="AK14" s="541"/>
      <c r="AL14" s="541"/>
      <c r="AM14" s="543">
        <v>15</v>
      </c>
    </row>
    <row r="15" spans="1:39" s="1778" customFormat="1" ht="15.75" customHeight="1">
      <c r="A15" s="231"/>
      <c r="B15" s="231"/>
      <c r="C15" s="114"/>
      <c r="D15" s="2769"/>
      <c r="E15" s="2772"/>
      <c r="F15" s="2768"/>
      <c r="G15" s="990"/>
      <c r="H15" s="991"/>
      <c r="I15" s="517" t="s">
        <v>125</v>
      </c>
      <c r="J15" s="115"/>
      <c r="K15" s="115"/>
      <c r="L15" s="115"/>
      <c r="M15" s="545"/>
      <c r="N15" s="743"/>
      <c r="O15" s="1343"/>
      <c r="P15" s="1340"/>
      <c r="Q15" s="1340"/>
      <c r="R15" s="1340"/>
      <c r="S15" s="1343"/>
      <c r="T15" s="1343"/>
      <c r="U15" s="1193"/>
      <c r="V15" s="1193"/>
      <c r="W15" s="1193"/>
      <c r="X15" s="1193"/>
      <c r="Y15" s="541"/>
      <c r="Z15" s="541"/>
      <c r="AA15" s="541"/>
      <c r="AB15" s="541"/>
      <c r="AC15" s="541"/>
      <c r="AD15" s="541"/>
      <c r="AE15" s="541"/>
      <c r="AF15" s="541"/>
      <c r="AG15" s="541"/>
      <c r="AH15" s="541"/>
      <c r="AI15" s="541"/>
      <c r="AJ15" s="541"/>
      <c r="AK15" s="541"/>
      <c r="AL15" s="541"/>
      <c r="AM15" s="543">
        <v>15</v>
      </c>
    </row>
    <row r="16" spans="1:39" ht="15.75" customHeight="1">
      <c r="A16" s="546"/>
      <c r="B16" s="74"/>
      <c r="C16" s="737"/>
      <c r="D16" s="358"/>
      <c r="E16" s="508" t="s">
        <v>126</v>
      </c>
      <c r="F16" s="115"/>
      <c r="G16" s="115"/>
      <c r="H16" s="115"/>
      <c r="I16" s="115"/>
      <c r="J16" s="115"/>
      <c r="K16" s="115" t="s">
        <v>30</v>
      </c>
      <c r="L16" s="115"/>
      <c r="M16" s="545"/>
      <c r="N16" s="1554"/>
      <c r="AM16" s="520">
        <v>15</v>
      </c>
    </row>
    <row r="17" spans="1:39" ht="11.25" hidden="1" customHeight="1">
      <c r="A17" s="520" t="s">
        <v>87</v>
      </c>
      <c r="B17" s="520">
        <v>0</v>
      </c>
      <c r="C17" s="520">
        <v>3</v>
      </c>
      <c r="D17" s="520">
        <v>4</v>
      </c>
      <c r="E17" s="520">
        <v>44</v>
      </c>
      <c r="F17" s="520">
        <v>6</v>
      </c>
      <c r="G17" s="520">
        <v>4</v>
      </c>
      <c r="H17" s="520">
        <v>5</v>
      </c>
      <c r="I17" s="520">
        <v>52</v>
      </c>
      <c r="J17" s="520">
        <v>6</v>
      </c>
      <c r="K17" s="520">
        <v>3</v>
      </c>
      <c r="L17" s="520">
        <v>6</v>
      </c>
      <c r="M17" s="520">
        <v>56</v>
      </c>
      <c r="N17" s="521">
        <v>8</v>
      </c>
      <c r="O17" s="1340">
        <v>0</v>
      </c>
      <c r="P17" s="1340">
        <v>0</v>
      </c>
      <c r="Q17" s="1340">
        <v>0</v>
      </c>
      <c r="R17" s="1340">
        <v>0</v>
      </c>
      <c r="S17" s="1340">
        <v>0</v>
      </c>
      <c r="T17" s="1340">
        <v>0</v>
      </c>
      <c r="U17" s="1190">
        <v>0</v>
      </c>
      <c r="V17" s="1190">
        <v>0</v>
      </c>
      <c r="W17" s="1190">
        <v>0</v>
      </c>
      <c r="X17" s="1190">
        <v>0</v>
      </c>
      <c r="Y17" s="521">
        <v>0</v>
      </c>
      <c r="Z17" s="521">
        <v>0</v>
      </c>
      <c r="AA17" s="521">
        <v>0</v>
      </c>
      <c r="AB17" s="521">
        <v>0</v>
      </c>
      <c r="AC17" s="521">
        <v>0</v>
      </c>
      <c r="AD17" s="521">
        <v>0</v>
      </c>
      <c r="AE17" s="521">
        <v>0</v>
      </c>
      <c r="AF17" s="521">
        <v>0</v>
      </c>
      <c r="AG17" s="521">
        <v>0</v>
      </c>
      <c r="AH17" s="521">
        <v>0</v>
      </c>
      <c r="AI17" s="521">
        <v>0</v>
      </c>
      <c r="AJ17" s="521">
        <v>0</v>
      </c>
      <c r="AK17" s="521">
        <v>0</v>
      </c>
      <c r="AL17" s="521">
        <v>8</v>
      </c>
      <c r="AM17" s="520">
        <v>11</v>
      </c>
    </row>
  </sheetData>
  <sheetProtection formatColumns="0" formatRows="0" insertRows="0" deleteColumns="0" deleteRows="0" sort="0" autoFilter="0"/>
  <mergeCells count="19">
    <mergeCell ref="I13:I14"/>
    <mergeCell ref="J13:J14"/>
    <mergeCell ref="D13:D15"/>
    <mergeCell ref="E13:E15"/>
    <mergeCell ref="F13:F15"/>
    <mergeCell ref="G13:G14"/>
    <mergeCell ref="H13:H14"/>
    <mergeCell ref="G11:H11"/>
    <mergeCell ref="K11:L11"/>
    <mergeCell ref="D4:I4"/>
    <mergeCell ref="D5:I5"/>
    <mergeCell ref="A6:F6"/>
    <mergeCell ref="A9:A10"/>
    <mergeCell ref="D9:E9"/>
    <mergeCell ref="F9:I9"/>
    <mergeCell ref="E7:M7"/>
    <mergeCell ref="J9:M9"/>
    <mergeCell ref="G10:H10"/>
    <mergeCell ref="K10:L10"/>
  </mergeCells>
  <dataValidations count="1">
    <dataValidation type="textLength" operator="lessThan" allowBlank="1" showInputMessage="1" showErrorMessage="1" error="Допускается ввод не более 900 символов!" sqref="M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26B0A"/>
  </sheetPr>
  <dimension ref="A1:V40"/>
  <sheetViews>
    <sheetView showGridLines="0" zoomScale="90" workbookViewId="0">
      <pane xSplit="8" ySplit="31" topLeftCell="I32" activePane="bottomRight" state="frozen"/>
      <selection pane="topRight" activeCell="I1" sqref="I1"/>
      <selection pane="bottomLeft" activeCell="A32" sqref="A32"/>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25.7109375" style="1562" hidden="1" customWidth="1"/>
    <col min="8" max="8" width="33.7109375" style="1562" hidden="1" customWidth="1"/>
    <col min="9" max="9" width="25.7109375" style="1562" customWidth="1"/>
    <col min="10" max="10" width="33" style="1562" customWidth="1"/>
    <col min="11" max="11" width="93"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293" customFormat="1" ht="15" hidden="1" customHeight="1">
      <c r="C2" s="609"/>
      <c r="U2" s="357"/>
      <c r="V2" s="354">
        <v>0</v>
      </c>
    </row>
    <row r="3" spans="1:22" ht="22.5" hidden="1" customHeight="1">
      <c r="A3" s="442"/>
      <c r="B3" s="3007"/>
      <c r="C3" s="3008" t="s">
        <v>179</v>
      </c>
      <c r="D3" s="626" t="str">
        <f>B3&amp;".1"</f>
        <v>.1</v>
      </c>
      <c r="E3" s="627" t="s">
        <v>981</v>
      </c>
      <c r="F3" s="628" t="s">
        <v>351</v>
      </c>
      <c r="G3" s="623"/>
      <c r="H3" s="338"/>
      <c r="I3" s="623"/>
      <c r="J3" s="338"/>
      <c r="K3" s="227" t="s">
        <v>982</v>
      </c>
      <c r="V3" s="442">
        <v>0</v>
      </c>
    </row>
    <row r="4" spans="1:22" ht="15" hidden="1" customHeight="1">
      <c r="A4" s="442"/>
      <c r="B4" s="3007"/>
      <c r="C4" s="3008"/>
      <c r="D4" s="626" t="str">
        <f>B3&amp;".2"</f>
        <v>.2</v>
      </c>
      <c r="E4" s="627" t="s">
        <v>983</v>
      </c>
      <c r="F4" s="628" t="s">
        <v>351</v>
      </c>
      <c r="G4" s="1664" t="s">
        <v>30</v>
      </c>
      <c r="H4" s="338"/>
      <c r="I4" s="1664" t="s">
        <v>30</v>
      </c>
      <c r="J4" s="338"/>
      <c r="K4" s="227" t="s">
        <v>984</v>
      </c>
      <c r="V4" s="442">
        <v>0</v>
      </c>
    </row>
    <row r="5" spans="1:22" s="1293" customFormat="1" ht="15" hidden="1" customHeight="1">
      <c r="C5" s="609"/>
      <c r="U5" s="357"/>
      <c r="V5" s="354">
        <v>0</v>
      </c>
    </row>
    <row r="6" spans="1:22" ht="22.5" hidden="1" customHeight="1">
      <c r="A6" s="442"/>
      <c r="B6" s="3007"/>
      <c r="C6" s="3008" t="s">
        <v>179</v>
      </c>
      <c r="D6" s="626" t="str">
        <f>B6&amp;".1"</f>
        <v>.1</v>
      </c>
      <c r="E6" s="627" t="s">
        <v>985</v>
      </c>
      <c r="F6" s="628" t="s">
        <v>351</v>
      </c>
      <c r="G6" s="623"/>
      <c r="H6" s="338"/>
      <c r="I6" s="623"/>
      <c r="J6" s="338"/>
      <c r="K6" s="227" t="s">
        <v>986</v>
      </c>
      <c r="V6" s="442">
        <v>0</v>
      </c>
    </row>
    <row r="7" spans="1:22" ht="15" hidden="1" customHeight="1">
      <c r="A7" s="442"/>
      <c r="B7" s="3007"/>
      <c r="C7" s="3008"/>
      <c r="D7" s="626" t="str">
        <f>B6&amp;".2"</f>
        <v>.2</v>
      </c>
      <c r="E7" s="627" t="s">
        <v>983</v>
      </c>
      <c r="F7" s="628" t="s">
        <v>351</v>
      </c>
      <c r="G7" s="1664" t="s">
        <v>30</v>
      </c>
      <c r="H7" s="338"/>
      <c r="I7" s="1664" t="s">
        <v>30</v>
      </c>
      <c r="J7" s="338"/>
      <c r="K7" s="227" t="s">
        <v>984</v>
      </c>
      <c r="V7" s="442">
        <v>0</v>
      </c>
    </row>
    <row r="8" spans="1:22" s="1293" customFormat="1" ht="15" hidden="1" customHeight="1">
      <c r="C8" s="609"/>
      <c r="U8" s="357"/>
      <c r="V8" s="354">
        <v>0</v>
      </c>
    </row>
    <row r="9" spans="1:22" ht="22.5" hidden="1" customHeight="1">
      <c r="A9" s="442"/>
      <c r="B9" s="3007"/>
      <c r="C9" s="3008" t="s">
        <v>179</v>
      </c>
      <c r="D9" s="626" t="str">
        <f>B9&amp;".1"</f>
        <v>.1</v>
      </c>
      <c r="E9" s="627" t="s">
        <v>987</v>
      </c>
      <c r="F9" s="628" t="s">
        <v>351</v>
      </c>
      <c r="G9" s="634" t="s">
        <v>30</v>
      </c>
      <c r="H9" s="338" t="s">
        <v>30</v>
      </c>
      <c r="I9" s="634" t="s">
        <v>30</v>
      </c>
      <c r="J9" s="338" t="s">
        <v>30</v>
      </c>
      <c r="K9" s="227"/>
      <c r="V9" s="442">
        <v>0</v>
      </c>
    </row>
    <row r="10" spans="1:22" ht="15" hidden="1" customHeight="1">
      <c r="A10" s="442"/>
      <c r="B10" s="3007"/>
      <c r="C10" s="3008"/>
      <c r="D10" s="626" t="str">
        <f>B9&amp;".2"</f>
        <v>.2</v>
      </c>
      <c r="E10" s="627" t="s">
        <v>988</v>
      </c>
      <c r="F10" s="628" t="s">
        <v>351</v>
      </c>
      <c r="G10" s="1658" t="s">
        <v>30</v>
      </c>
      <c r="H10" s="338" t="s">
        <v>30</v>
      </c>
      <c r="I10" s="1658" t="s">
        <v>30</v>
      </c>
      <c r="J10" s="338" t="s">
        <v>30</v>
      </c>
      <c r="K10" s="227" t="s">
        <v>989</v>
      </c>
      <c r="V10" s="442">
        <v>0</v>
      </c>
    </row>
    <row r="11" spans="1:22" ht="15" hidden="1" customHeight="1">
      <c r="A11" s="442"/>
      <c r="B11" s="3007"/>
      <c r="C11" s="3008"/>
      <c r="D11" s="626" t="str">
        <f>B9&amp;".3"</f>
        <v>.3</v>
      </c>
      <c r="E11" s="627" t="s">
        <v>990</v>
      </c>
      <c r="F11" s="628" t="s">
        <v>351</v>
      </c>
      <c r="G11" s="1658" t="s">
        <v>30</v>
      </c>
      <c r="H11" s="338" t="s">
        <v>30</v>
      </c>
      <c r="I11" s="1658" t="s">
        <v>30</v>
      </c>
      <c r="J11" s="338" t="s">
        <v>30</v>
      </c>
      <c r="K11" s="227" t="s">
        <v>991</v>
      </c>
      <c r="V11" s="442">
        <v>0</v>
      </c>
    </row>
    <row r="12" spans="1:22" s="1293" customFormat="1" ht="15" hidden="1" customHeight="1">
      <c r="C12" s="609"/>
      <c r="U12" s="357"/>
      <c r="V12" s="354">
        <v>0</v>
      </c>
    </row>
    <row r="13" spans="1:22" ht="33.75" hidden="1" customHeight="1">
      <c r="A13" s="442"/>
      <c r="B13" s="3007"/>
      <c r="C13" s="3008" t="s">
        <v>179</v>
      </c>
      <c r="D13" s="626" t="str">
        <f>B13&amp;".1"</f>
        <v>.1</v>
      </c>
      <c r="E13" s="627" t="s">
        <v>992</v>
      </c>
      <c r="F13" s="628" t="s">
        <v>351</v>
      </c>
      <c r="G13" s="634" t="s">
        <v>30</v>
      </c>
      <c r="H13" s="338" t="s">
        <v>30</v>
      </c>
      <c r="I13" s="634" t="s">
        <v>30</v>
      </c>
      <c r="J13" s="338" t="s">
        <v>30</v>
      </c>
      <c r="K13" s="227" t="s">
        <v>993</v>
      </c>
      <c r="V13" s="442">
        <v>0</v>
      </c>
    </row>
    <row r="14" spans="1:22" ht="15" hidden="1" customHeight="1">
      <c r="B14" s="3007"/>
      <c r="C14" s="3008"/>
      <c r="D14" s="626" t="str">
        <f>B13&amp;".2"</f>
        <v>.2</v>
      </c>
      <c r="E14" s="627" t="s">
        <v>994</v>
      </c>
      <c r="F14" s="628" t="s">
        <v>351</v>
      </c>
      <c r="G14" s="1658" t="s">
        <v>30</v>
      </c>
      <c r="H14" s="338" t="s">
        <v>30</v>
      </c>
      <c r="I14" s="1658" t="s">
        <v>30</v>
      </c>
      <c r="J14" s="338" t="s">
        <v>30</v>
      </c>
      <c r="K14" s="227" t="s">
        <v>995</v>
      </c>
      <c r="V14" s="442">
        <v>0</v>
      </c>
    </row>
    <row r="15" spans="1:22" s="1293" customFormat="1" ht="15" hidden="1" customHeight="1">
      <c r="C15" s="609"/>
      <c r="U15" s="357"/>
      <c r="V15" s="354">
        <v>0</v>
      </c>
    </row>
    <row r="16" spans="1:22" s="1293" customFormat="1" ht="15" hidden="1" customHeight="1">
      <c r="C16" s="609"/>
      <c r="U16" s="357"/>
      <c r="V16" s="354">
        <v>0</v>
      </c>
    </row>
    <row r="17" spans="1:22" s="1293" customFormat="1" ht="15" hidden="1" customHeight="1">
      <c r="C17" s="609"/>
      <c r="U17" s="357"/>
      <c r="V17" s="354">
        <v>0</v>
      </c>
    </row>
    <row r="18" spans="1:22" s="1293" customFormat="1" ht="15" hidden="1" customHeight="1">
      <c r="C18" s="609"/>
      <c r="U18" s="357"/>
      <c r="V18" s="354">
        <v>0</v>
      </c>
    </row>
    <row r="19" spans="1:22" s="1293" customFormat="1" ht="15" hidden="1" customHeight="1">
      <c r="C19" s="609"/>
      <c r="U19" s="357"/>
      <c r="V19" s="354">
        <v>0</v>
      </c>
    </row>
    <row r="20" spans="1:22" s="1293" customFormat="1" ht="15" hidden="1" customHeight="1">
      <c r="C20" s="609"/>
      <c r="U20" s="357"/>
      <c r="V20" s="354">
        <v>0</v>
      </c>
    </row>
    <row r="21" spans="1:22" ht="15.75" customHeight="1">
      <c r="C21" s="114"/>
      <c r="D21" s="446"/>
      <c r="E21" s="446"/>
      <c r="F21" s="446"/>
      <c r="G21" s="446"/>
      <c r="H21" s="446"/>
      <c r="I21" s="446"/>
      <c r="J21" s="446"/>
      <c r="V21" s="442">
        <v>15</v>
      </c>
    </row>
    <row r="22" spans="1:22" ht="23.25" customHeight="1">
      <c r="C22" s="114"/>
      <c r="D22" s="2877" t="str">
        <f>KNE_NAME_FORM</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E22" s="2877"/>
      <c r="F22" s="2877"/>
      <c r="G22" s="2877"/>
      <c r="H22" s="2877"/>
      <c r="I22" s="2877"/>
      <c r="J22" s="613"/>
      <c r="K22" s="474"/>
      <c r="V22" s="442">
        <v>22</v>
      </c>
    </row>
    <row r="23" spans="1:22" ht="15.75" customHeight="1">
      <c r="C23" s="114"/>
      <c r="D23" s="2849" t="str">
        <f>IF(org=0,"Не определено",org)</f>
        <v>ТМУП "ТТС"</v>
      </c>
      <c r="E23" s="2849"/>
      <c r="F23" s="2849"/>
      <c r="G23" s="2849"/>
      <c r="H23" s="2849"/>
      <c r="I23" s="2849"/>
      <c r="J23" s="613"/>
      <c r="K23" s="474"/>
      <c r="V23" s="442">
        <v>15</v>
      </c>
    </row>
    <row r="24" spans="1:22" ht="15.75" customHeight="1">
      <c r="C24" s="114"/>
      <c r="D24" s="446"/>
      <c r="E24" s="446"/>
      <c r="F24" s="446"/>
      <c r="G24" s="474">
        <v>22</v>
      </c>
      <c r="H24" s="689"/>
      <c r="I24" s="474">
        <v>22</v>
      </c>
      <c r="J24" s="689"/>
      <c r="V24" s="442">
        <v>15</v>
      </c>
    </row>
    <row r="25" spans="1:22" s="1562" customFormat="1" ht="0.75" customHeight="1">
      <c r="A25" s="694"/>
      <c r="C25" s="114"/>
      <c r="D25" s="446"/>
      <c r="E25" s="446"/>
      <c r="F25" s="446"/>
      <c r="G25" s="474"/>
      <c r="H25" s="689"/>
      <c r="I25" s="474" t="s">
        <v>122</v>
      </c>
      <c r="J25" s="689"/>
      <c r="K25" s="354"/>
      <c r="U25" s="612"/>
      <c r="V25" s="693">
        <v>1</v>
      </c>
    </row>
    <row r="26" spans="1:22" ht="15.75" customHeight="1">
      <c r="C26" s="114"/>
      <c r="D26" s="648"/>
      <c r="E26" s="2984" t="s">
        <v>110</v>
      </c>
      <c r="F26" s="2985"/>
      <c r="G26" s="3009" t="str">
        <f>IF(G25="","",INDEX(DIFFERENTIATION_UNMERGE_VD,MATCH(G25,DIFFERENTIATION_ID_DIFF,0)))</f>
        <v/>
      </c>
      <c r="H26" s="3010"/>
      <c r="I26" s="3009">
        <f>IF(I25="","",INDEX(DIFFERENTIATION_UNMERGE_VD,MATCH(I25,DIFFERENTIATION_ID_DIFF,0)))</f>
        <v>0</v>
      </c>
      <c r="J26" s="3010"/>
      <c r="K26" s="2829" t="s">
        <v>346</v>
      </c>
      <c r="V26" s="442">
        <v>15</v>
      </c>
    </row>
    <row r="27" spans="1:22" s="1562" customFormat="1" ht="15.75" customHeight="1">
      <c r="A27" s="694"/>
      <c r="C27" s="114"/>
      <c r="D27" s="648"/>
      <c r="E27" s="2984" t="s">
        <v>610</v>
      </c>
      <c r="F27" s="2985"/>
      <c r="G27" s="3009" t="str">
        <f>IF(G25="","",INDEX(DIFFERENTIATION_UNMERGE_AREA,MATCH(G25,DIFFERENTIATION_ID_DIFF,0)))</f>
        <v/>
      </c>
      <c r="H27" s="3010"/>
      <c r="I27" s="3009" t="str">
        <f>IF(I25="","",INDEX(DIFFERENTIATION_UNMERGE_AREA,MATCH(I25,DIFFERENTIATION_ID_DIFF,0)))</f>
        <v/>
      </c>
      <c r="J27" s="3010"/>
      <c r="K27" s="2833"/>
      <c r="U27" s="612"/>
      <c r="V27" s="693">
        <v>15</v>
      </c>
    </row>
    <row r="28" spans="1:22" s="1562" customFormat="1" ht="15.75" customHeight="1">
      <c r="A28" s="694"/>
      <c r="C28" s="114"/>
      <c r="D28" s="648"/>
      <c r="E28" s="2984" t="s">
        <v>611</v>
      </c>
      <c r="F28" s="2985"/>
      <c r="G28" s="3009" t="str">
        <f>IF(G25="","",INDEX(DIFFERENTIATION_UNMERGE_SYSTEM,MATCH(G25,DIFFERENTIATION_ID_DIFF,0)))</f>
        <v/>
      </c>
      <c r="H28" s="3010"/>
      <c r="I28" s="3009" t="str">
        <f>IF(I25="","",INDEX(DIFFERENTIATION_UNMERGE_SYSTEM,MATCH(I25,DIFFERENTIATION_ID_DIFF,0)))</f>
        <v>без дифференциации</v>
      </c>
      <c r="J28" s="3010"/>
      <c r="K28" s="2833"/>
      <c r="U28" s="612"/>
      <c r="V28" s="693">
        <v>15</v>
      </c>
    </row>
    <row r="29" spans="1:22" s="1562" customFormat="1" ht="15.75" customHeight="1">
      <c r="A29" s="694"/>
      <c r="C29" s="114"/>
      <c r="D29" s="2986" t="s">
        <v>345</v>
      </c>
      <c r="E29" s="2987"/>
      <c r="F29" s="2987"/>
      <c r="G29" s="817"/>
      <c r="H29" s="817"/>
      <c r="I29" s="817"/>
      <c r="J29" s="818"/>
      <c r="K29" s="2833"/>
      <c r="U29" s="612"/>
      <c r="V29" s="693">
        <v>15</v>
      </c>
    </row>
    <row r="30" spans="1:22" ht="36" customHeight="1">
      <c r="C30" s="114"/>
      <c r="D30" s="696" t="s">
        <v>93</v>
      </c>
      <c r="E30" s="695" t="s">
        <v>347</v>
      </c>
      <c r="F30" s="695" t="s">
        <v>612</v>
      </c>
      <c r="G30" s="739" t="s">
        <v>348</v>
      </c>
      <c r="H30" s="738" t="s">
        <v>435</v>
      </c>
      <c r="I30" s="621" t="s">
        <v>348</v>
      </c>
      <c r="J30" s="402" t="s">
        <v>435</v>
      </c>
      <c r="K30" s="2836"/>
      <c r="V30" s="442">
        <v>34</v>
      </c>
    </row>
    <row r="31" spans="1:22" ht="15" hidden="1" customHeight="1">
      <c r="C31" s="114"/>
      <c r="D31" s="530"/>
      <c r="E31" s="530"/>
      <c r="F31" s="530"/>
      <c r="G31" s="596"/>
      <c r="H31" s="596"/>
      <c r="I31" s="596"/>
      <c r="J31" s="596"/>
      <c r="K31" s="227"/>
      <c r="V31" s="442">
        <v>0</v>
      </c>
    </row>
    <row r="32" spans="1:22" ht="24" customHeight="1">
      <c r="A32" s="442"/>
      <c r="B32" s="442" t="s">
        <v>996</v>
      </c>
      <c r="C32" s="463"/>
      <c r="D32" s="629">
        <v>1</v>
      </c>
      <c r="E32" s="630" t="s">
        <v>997</v>
      </c>
      <c r="F32" s="628" t="s">
        <v>351</v>
      </c>
      <c r="G32" s="744" t="s">
        <v>351</v>
      </c>
      <c r="H32" s="744" t="s">
        <v>351</v>
      </c>
      <c r="I32" s="628" t="s">
        <v>351</v>
      </c>
      <c r="J32" s="628" t="s">
        <v>351</v>
      </c>
      <c r="K32" s="227"/>
      <c r="V32" s="442">
        <v>23</v>
      </c>
    </row>
    <row r="33" spans="1:22" ht="11.25" customHeight="1">
      <c r="A33" s="442"/>
      <c r="C33" s="442"/>
      <c r="D33" s="285"/>
      <c r="E33" s="517" t="s">
        <v>632</v>
      </c>
      <c r="F33" s="509"/>
      <c r="G33" s="509"/>
      <c r="H33" s="509"/>
      <c r="I33" s="509"/>
      <c r="J33" s="509"/>
      <c r="K33" s="510"/>
      <c r="U33" s="442"/>
      <c r="V33" s="442">
        <v>11</v>
      </c>
    </row>
    <row r="34" spans="1:22" ht="24" customHeight="1">
      <c r="A34" s="442"/>
      <c r="B34" s="518" t="s">
        <v>682</v>
      </c>
      <c r="C34" s="463"/>
      <c r="D34" s="629">
        <v>2</v>
      </c>
      <c r="E34" s="630" t="s">
        <v>998</v>
      </c>
      <c r="F34" s="751" t="s">
        <v>351</v>
      </c>
      <c r="G34" s="751" t="s">
        <v>351</v>
      </c>
      <c r="H34" s="751" t="s">
        <v>351</v>
      </c>
      <c r="I34" s="628"/>
      <c r="J34" s="628"/>
      <c r="K34" s="227"/>
      <c r="V34" s="442">
        <v>23</v>
      </c>
    </row>
    <row r="35" spans="1:22" ht="11.25" customHeight="1">
      <c r="A35" s="442"/>
      <c r="C35" s="442"/>
      <c r="D35" s="285"/>
      <c r="E35" s="517" t="s">
        <v>999</v>
      </c>
      <c r="F35" s="509"/>
      <c r="G35" s="631"/>
      <c r="H35" s="509"/>
      <c r="I35" s="631"/>
      <c r="J35" s="509"/>
      <c r="K35" s="510"/>
      <c r="U35" s="442"/>
      <c r="V35" s="442">
        <v>11</v>
      </c>
    </row>
    <row r="36" spans="1:22" ht="71.25" customHeight="1">
      <c r="A36" s="442"/>
      <c r="B36" s="442" t="s">
        <v>1000</v>
      </c>
      <c r="C36" s="463"/>
      <c r="D36" s="629">
        <v>3</v>
      </c>
      <c r="E36" s="630" t="s">
        <v>1001</v>
      </c>
      <c r="F36" s="632" t="s">
        <v>351</v>
      </c>
      <c r="G36" s="745" t="s">
        <v>1002</v>
      </c>
      <c r="H36" s="744" t="s">
        <v>351</v>
      </c>
      <c r="I36" s="461" t="s">
        <v>1002</v>
      </c>
      <c r="J36" s="628" t="s">
        <v>351</v>
      </c>
      <c r="K36" s="227" t="s">
        <v>1003</v>
      </c>
      <c r="V36" s="442">
        <v>68</v>
      </c>
    </row>
    <row r="37" spans="1:22" ht="11.25" customHeight="1">
      <c r="A37" s="442"/>
      <c r="C37" s="442"/>
      <c r="D37" s="285"/>
      <c r="E37" s="517" t="s">
        <v>1004</v>
      </c>
      <c r="F37" s="509"/>
      <c r="G37" s="631"/>
      <c r="H37" s="631"/>
      <c r="I37" s="631"/>
      <c r="J37" s="631"/>
      <c r="K37" s="510"/>
      <c r="U37" s="442"/>
      <c r="V37" s="442">
        <v>11</v>
      </c>
    </row>
    <row r="38" spans="1:22" ht="71.25" customHeight="1">
      <c r="A38" s="442"/>
      <c r="B38" s="442" t="s">
        <v>1005</v>
      </c>
      <c r="C38" s="463"/>
      <c r="D38" s="629">
        <v>4</v>
      </c>
      <c r="E38" s="630" t="s">
        <v>1006</v>
      </c>
      <c r="F38" s="632" t="s">
        <v>351</v>
      </c>
      <c r="G38" s="745" t="s">
        <v>1002</v>
      </c>
      <c r="H38" s="746" t="s">
        <v>351</v>
      </c>
      <c r="I38" s="461" t="s">
        <v>1002</v>
      </c>
      <c r="J38" s="458" t="s">
        <v>351</v>
      </c>
      <c r="K38" s="616" t="s">
        <v>1007</v>
      </c>
      <c r="V38" s="442">
        <v>68</v>
      </c>
    </row>
    <row r="39" spans="1:22" ht="11.25" customHeight="1">
      <c r="A39" s="442"/>
      <c r="C39" s="442"/>
      <c r="D39" s="285"/>
      <c r="E39" s="517" t="s">
        <v>1008</v>
      </c>
      <c r="F39" s="509"/>
      <c r="G39" s="509"/>
      <c r="H39" s="633"/>
      <c r="I39" s="509"/>
      <c r="J39" s="633"/>
      <c r="K39" s="510"/>
      <c r="U39" s="442"/>
      <c r="V39" s="442">
        <v>11</v>
      </c>
    </row>
    <row r="40" spans="1:22" ht="22.5" hidden="1" customHeight="1">
      <c r="A40" s="386" t="s">
        <v>87</v>
      </c>
      <c r="B40" s="442">
        <v>0</v>
      </c>
      <c r="C40" s="620">
        <v>4</v>
      </c>
      <c r="D40" s="442">
        <v>6</v>
      </c>
      <c r="E40" s="442">
        <v>36</v>
      </c>
      <c r="F40" s="442">
        <v>9</v>
      </c>
      <c r="G40" s="693">
        <v>0</v>
      </c>
      <c r="H40" s="693">
        <v>0</v>
      </c>
      <c r="I40" s="442">
        <v>25</v>
      </c>
      <c r="J40" s="442">
        <v>33</v>
      </c>
      <c r="K40" s="354">
        <v>93</v>
      </c>
      <c r="L40" s="442">
        <v>10</v>
      </c>
      <c r="M40" s="442">
        <v>10</v>
      </c>
      <c r="N40" s="442">
        <v>10</v>
      </c>
      <c r="O40" s="442">
        <v>10</v>
      </c>
      <c r="P40" s="442">
        <v>10</v>
      </c>
      <c r="Q40" s="442">
        <v>10</v>
      </c>
      <c r="R40" s="442">
        <v>10</v>
      </c>
      <c r="S40" s="442">
        <v>10</v>
      </c>
      <c r="T40" s="442">
        <v>10</v>
      </c>
      <c r="U40" s="612">
        <v>10</v>
      </c>
      <c r="V40" s="442">
        <v>23</v>
      </c>
    </row>
  </sheetData>
  <sheetProtection formatColumns="0" formatRows="0" insertRows="0" deleteColumns="0" deleteRows="0" sort="0" autoFilter="0"/>
  <mergeCells count="21">
    <mergeCell ref="G28:H28"/>
    <mergeCell ref="K26:K30"/>
    <mergeCell ref="E27:F27"/>
    <mergeCell ref="E28:F28"/>
    <mergeCell ref="I27:J27"/>
    <mergeCell ref="I28:J28"/>
    <mergeCell ref="G26:H26"/>
    <mergeCell ref="G27:H27"/>
    <mergeCell ref="D29:F29"/>
    <mergeCell ref="B13:B14"/>
    <mergeCell ref="C13:C14"/>
    <mergeCell ref="D22:I22"/>
    <mergeCell ref="D23:I23"/>
    <mergeCell ref="I26:J26"/>
    <mergeCell ref="E26:F26"/>
    <mergeCell ref="B3:B4"/>
    <mergeCell ref="C3:C4"/>
    <mergeCell ref="B6:B7"/>
    <mergeCell ref="C6:C7"/>
    <mergeCell ref="B9:B11"/>
    <mergeCell ref="C9:C11"/>
  </mergeCells>
  <dataValidations count="5">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30"/>
    <dataValidation type="textLength" operator="lessThanOrEqual" allowBlank="1" showInputMessage="1" showErrorMessage="1" errorTitle="Ошибка" error="Допускается ввод не более 900 символов!" sqref="I3 I6 I9 I13 G6 G13 G9 G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4 I4 I10:I11 G7 G14 I7 G10:G11 G4"/>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3:H4 J3:J4 H6:H7 J6:J7 J9:J11 H9:H11 J13:J14 H13:H14">
      <formula1>900</formula1>
    </dataValidation>
    <dataValidation allowBlank="1" showInputMessage="1" showErrorMessage="1" prompt="Для выбора выполните двойной щелчок левой клавиши мыши по ячейке." sqref="I36 G38 I38 G3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AE16"/>
  <sheetViews>
    <sheetView showGridLines="0" zoomScale="85" workbookViewId="0">
      <pane xSplit="7" ySplit="10" topLeftCell="H11" activePane="bottomRight" state="frozen"/>
      <selection pane="topRight" activeCell="H1" sqref="H1"/>
      <selection pane="bottomLeft" activeCell="A11" sqref="A11"/>
      <selection pane="bottomRight"/>
    </sheetView>
  </sheetViews>
  <sheetFormatPr defaultColWidth="9.140625" defaultRowHeight="10.5" customHeight="1"/>
  <cols>
    <col min="1" max="3" width="6.7109375" style="1093" hidden="1" customWidth="1"/>
    <col min="4" max="4" width="6.7109375" style="1293" hidden="1" customWidth="1"/>
    <col min="5" max="5" width="3" style="1562" customWidth="1"/>
    <col min="6" max="6" width="6" style="1562" customWidth="1"/>
    <col min="7" max="7" width="37" style="1562" customWidth="1"/>
    <col min="8" max="8" width="16" style="1562" customWidth="1"/>
    <col min="9" max="10" width="19" style="1562" customWidth="1"/>
    <col min="11" max="11" width="24" style="1562" customWidth="1"/>
    <col min="12" max="13" width="25" style="1562" customWidth="1"/>
    <col min="14" max="16" width="17" style="1562" customWidth="1"/>
    <col min="17" max="24" width="19" style="1562" customWidth="1"/>
    <col min="25" max="25" width="7" style="1562" customWidth="1"/>
    <col min="26" max="26" width="3" style="1562" customWidth="1"/>
    <col min="27" max="27" width="6" style="1562" customWidth="1"/>
    <col min="28" max="28" width="34" style="1562" customWidth="1"/>
    <col min="29" max="30" width="8" style="1562" customWidth="1"/>
    <col min="31" max="31" width="9.140625" style="1562" hidden="1"/>
  </cols>
  <sheetData>
    <row r="1" spans="1:31" s="1293" customFormat="1" ht="10.5" hidden="1" customHeight="1">
      <c r="A1" s="825"/>
      <c r="B1" s="825"/>
      <c r="C1" s="825"/>
      <c r="E1" s="474"/>
      <c r="H1" s="1087"/>
      <c r="AE1" s="354" t="s">
        <v>14</v>
      </c>
    </row>
    <row r="2" spans="1:31" ht="10.5" hidden="1" customHeight="1">
      <c r="AE2" s="693">
        <v>0</v>
      </c>
    </row>
    <row r="3" spans="1:31" s="1559" customFormat="1" ht="10.5" hidden="1" customHeight="1">
      <c r="A3" s="825"/>
      <c r="B3" s="825"/>
      <c r="C3" s="825"/>
      <c r="D3" s="354"/>
      <c r="E3" s="299"/>
      <c r="G3" s="1559" t="s">
        <v>1009</v>
      </c>
      <c r="H3" s="1083"/>
      <c r="AE3" s="694">
        <v>0</v>
      </c>
    </row>
    <row r="4" spans="1:31" ht="3" customHeight="1">
      <c r="AE4" s="693">
        <v>3</v>
      </c>
    </row>
    <row r="5" spans="1:31" ht="27" customHeight="1">
      <c r="F5" s="287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877"/>
      <c r="H5" s="2877"/>
      <c r="I5" s="2877"/>
      <c r="J5" s="2877"/>
      <c r="K5" s="2877"/>
      <c r="M5" s="519"/>
      <c r="AB5" s="836"/>
      <c r="AE5" s="693">
        <v>26</v>
      </c>
    </row>
    <row r="6" spans="1:31" s="1562" customFormat="1" ht="16.5" customHeight="1">
      <c r="A6" s="1093"/>
      <c r="B6" s="1093"/>
      <c r="C6" s="1093"/>
      <c r="D6" s="1087"/>
      <c r="F6" s="2849" t="str">
        <f>IF(org=0,"Не определено",org)</f>
        <v>ТМУП "ТТС"</v>
      </c>
      <c r="G6" s="2849"/>
      <c r="H6" s="2849"/>
      <c r="I6" s="2849"/>
      <c r="J6" s="2849"/>
      <c r="K6" s="2849"/>
      <c r="M6" s="519"/>
      <c r="AB6" s="1075"/>
      <c r="AE6" s="1558">
        <v>16</v>
      </c>
    </row>
    <row r="7" spans="1:31" ht="10.5" customHeight="1">
      <c r="AE7" s="693">
        <v>10</v>
      </c>
    </row>
    <row r="8" spans="1:31" ht="10.5" customHeight="1">
      <c r="A8" s="981"/>
      <c r="B8" s="981"/>
      <c r="C8" s="981"/>
      <c r="F8" s="2740" t="s">
        <v>345</v>
      </c>
      <c r="G8" s="2745"/>
      <c r="H8" s="2745"/>
      <c r="I8" s="2745"/>
      <c r="J8" s="2745"/>
      <c r="K8" s="2745"/>
      <c r="L8" s="2745"/>
      <c r="M8" s="2745"/>
      <c r="N8" s="2745"/>
      <c r="O8" s="2745"/>
      <c r="P8" s="2745"/>
      <c r="Q8" s="2745"/>
      <c r="R8" s="2745"/>
      <c r="S8" s="2745"/>
      <c r="T8" s="2745"/>
      <c r="U8" s="2745"/>
      <c r="V8" s="2745"/>
      <c r="W8" s="2745"/>
      <c r="X8" s="2745"/>
      <c r="Y8" s="2745"/>
      <c r="Z8" s="2745"/>
      <c r="AA8" s="2745"/>
      <c r="AB8" s="2739"/>
      <c r="AE8" s="693">
        <v>10</v>
      </c>
    </row>
    <row r="9" spans="1:31" ht="42.75" customHeight="1">
      <c r="A9" s="835"/>
      <c r="B9" s="835"/>
      <c r="C9" s="835"/>
      <c r="F9" s="2758" t="s">
        <v>93</v>
      </c>
      <c r="G9" s="2758" t="s">
        <v>1009</v>
      </c>
      <c r="H9" s="2829" t="s">
        <v>1010</v>
      </c>
      <c r="I9" s="2758" t="s">
        <v>1011</v>
      </c>
      <c r="J9" s="2758" t="s">
        <v>1012</v>
      </c>
      <c r="K9" s="2758" t="s">
        <v>1013</v>
      </c>
      <c r="L9" s="2758" t="s">
        <v>1014</v>
      </c>
      <c r="M9" s="2758" t="s">
        <v>1015</v>
      </c>
      <c r="N9" s="2857" t="s">
        <v>1016</v>
      </c>
      <c r="O9" s="2857"/>
      <c r="P9" s="2857"/>
      <c r="Q9" s="2910" t="s">
        <v>1017</v>
      </c>
      <c r="R9" s="2911"/>
      <c r="S9" s="2911"/>
      <c r="T9" s="2912"/>
      <c r="U9" s="2910" t="s">
        <v>1018</v>
      </c>
      <c r="V9" s="2911"/>
      <c r="W9" s="2911"/>
      <c r="X9" s="2912"/>
      <c r="Y9" s="2740" t="s">
        <v>1019</v>
      </c>
      <c r="Z9" s="2745"/>
      <c r="AA9" s="2745"/>
      <c r="AB9" s="2739"/>
      <c r="AE9" s="693">
        <v>41</v>
      </c>
    </row>
    <row r="10" spans="1:31" ht="42.75" customHeight="1">
      <c r="A10" s="835"/>
      <c r="B10" s="835"/>
      <c r="C10" s="835"/>
      <c r="F10" s="2829"/>
      <c r="G10" s="2829"/>
      <c r="H10" s="2882"/>
      <c r="I10" s="2829"/>
      <c r="J10" s="2829"/>
      <c r="K10" s="2829"/>
      <c r="L10" s="2829"/>
      <c r="M10" s="2829"/>
      <c r="N10" s="833" t="s">
        <v>1020</v>
      </c>
      <c r="O10" s="833" t="s">
        <v>1021</v>
      </c>
      <c r="P10" s="834" t="s">
        <v>1022</v>
      </c>
      <c r="Q10" s="845" t="s">
        <v>94</v>
      </c>
      <c r="R10" s="845" t="s">
        <v>1023</v>
      </c>
      <c r="S10" s="845" t="s">
        <v>1024</v>
      </c>
      <c r="T10" s="846" t="s">
        <v>1025</v>
      </c>
      <c r="U10" s="845" t="s">
        <v>94</v>
      </c>
      <c r="V10" s="845" t="s">
        <v>1026</v>
      </c>
      <c r="W10" s="845" t="s">
        <v>1024</v>
      </c>
      <c r="X10" s="846" t="s">
        <v>1025</v>
      </c>
      <c r="Y10" s="239" t="s">
        <v>1027</v>
      </c>
      <c r="Z10" s="2740" t="s">
        <v>93</v>
      </c>
      <c r="AA10" s="2739"/>
      <c r="AB10" s="979" t="s">
        <v>1028</v>
      </c>
      <c r="AE10" s="693">
        <v>41</v>
      </c>
    </row>
    <row r="11" spans="1:31" s="1569" customFormat="1" ht="5.25" hidden="1" customHeight="1">
      <c r="A11" s="982"/>
      <c r="B11" s="982"/>
      <c r="C11" s="982"/>
      <c r="E11" s="980"/>
      <c r="F11" s="3013" t="s">
        <v>421</v>
      </c>
      <c r="G11" s="3015"/>
      <c r="H11" s="3011"/>
      <c r="I11" s="3011"/>
      <c r="J11" s="3011"/>
      <c r="K11" s="3014"/>
      <c r="L11" s="3014"/>
      <c r="M11" s="3014"/>
      <c r="N11" s="3011"/>
      <c r="O11" s="3011"/>
      <c r="P11" s="2758"/>
      <c r="Q11" s="2839"/>
      <c r="R11" s="2839"/>
      <c r="S11" s="2839"/>
      <c r="T11" s="3011"/>
      <c r="U11" s="2839"/>
      <c r="V11" s="2839"/>
      <c r="W11" s="2839"/>
      <c r="X11" s="3011"/>
      <c r="Y11" s="2769"/>
      <c r="Z11" s="2769"/>
      <c r="AA11" s="2769"/>
      <c r="AB11" s="2769"/>
      <c r="AD11" s="448" t="s">
        <v>1029</v>
      </c>
      <c r="AE11" s="448">
        <v>0</v>
      </c>
    </row>
    <row r="12" spans="1:31" s="1569" customFormat="1" ht="5.25" hidden="1" customHeight="1">
      <c r="A12" s="826"/>
      <c r="B12" s="826"/>
      <c r="C12" s="826"/>
      <c r="E12" s="455"/>
      <c r="F12" s="3013"/>
      <c r="G12" s="3015"/>
      <c r="H12" s="3011"/>
      <c r="I12" s="3011"/>
      <c r="J12" s="3011"/>
      <c r="K12" s="3014"/>
      <c r="L12" s="3014"/>
      <c r="M12" s="3014"/>
      <c r="N12" s="3011"/>
      <c r="O12" s="3011"/>
      <c r="P12" s="2758"/>
      <c r="Q12" s="2839"/>
      <c r="R12" s="2839"/>
      <c r="S12" s="2839"/>
      <c r="T12" s="3011"/>
      <c r="U12" s="2839"/>
      <c r="V12" s="2839"/>
      <c r="W12" s="2839"/>
      <c r="X12" s="3011"/>
      <c r="Y12" s="3012"/>
      <c r="Z12" s="3012"/>
      <c r="AA12" s="3012"/>
      <c r="AB12" s="3012"/>
      <c r="AE12" s="448">
        <v>0</v>
      </c>
    </row>
    <row r="13" spans="1:31" ht="10.5" customHeight="1">
      <c r="F13" s="832"/>
      <c r="G13" s="587" t="s">
        <v>1030</v>
      </c>
      <c r="H13" s="1095"/>
      <c r="I13" s="509"/>
      <c r="J13" s="509"/>
      <c r="K13" s="509"/>
      <c r="L13" s="509"/>
      <c r="M13" s="509"/>
      <c r="N13" s="509"/>
      <c r="O13" s="509"/>
      <c r="P13" s="509"/>
      <c r="Q13" s="509"/>
      <c r="R13" s="509"/>
      <c r="S13" s="509"/>
      <c r="T13" s="509"/>
      <c r="U13" s="509"/>
      <c r="V13" s="509"/>
      <c r="W13" s="509"/>
      <c r="X13" s="509"/>
      <c r="Y13" s="509"/>
      <c r="Z13" s="633"/>
      <c r="AA13" s="633"/>
      <c r="AB13" s="847"/>
      <c r="AE13" s="693">
        <v>10</v>
      </c>
    </row>
    <row r="14" spans="1:31" ht="10.5" customHeight="1">
      <c r="AE14" s="693">
        <v>10</v>
      </c>
    </row>
    <row r="15" spans="1:31" s="1569" customFormat="1" ht="10.5" customHeight="1">
      <c r="A15" s="1094"/>
      <c r="B15" s="1094"/>
      <c r="C15" s="1094"/>
      <c r="E15" s="455"/>
      <c r="H15" s="448">
        <f>IFERROR(MATCH("нет",IP_MAIN_DIFFERENTIATION_EVENTS_FLAG,0),0)</f>
        <v>0</v>
      </c>
      <c r="AE15" s="448">
        <v>10</v>
      </c>
    </row>
    <row r="16" spans="1:31" ht="10.5" hidden="1" customHeight="1">
      <c r="A16" s="825" t="s">
        <v>87</v>
      </c>
      <c r="B16" s="825">
        <v>0</v>
      </c>
      <c r="C16" s="825">
        <v>0</v>
      </c>
      <c r="D16" s="354">
        <v>0</v>
      </c>
      <c r="E16" s="446">
        <v>3</v>
      </c>
      <c r="F16" s="693">
        <v>6</v>
      </c>
      <c r="G16" s="693">
        <v>37</v>
      </c>
      <c r="H16" s="1082">
        <v>16</v>
      </c>
      <c r="I16" s="693">
        <v>19</v>
      </c>
      <c r="J16" s="693">
        <v>19</v>
      </c>
      <c r="K16" s="693">
        <v>24</v>
      </c>
      <c r="L16" s="693">
        <v>25</v>
      </c>
      <c r="M16" s="693">
        <v>25</v>
      </c>
      <c r="N16" s="693">
        <v>17</v>
      </c>
      <c r="O16" s="693">
        <v>17</v>
      </c>
      <c r="P16" s="693">
        <v>17</v>
      </c>
      <c r="Q16" s="693">
        <v>19</v>
      </c>
      <c r="R16" s="693">
        <v>19</v>
      </c>
      <c r="S16" s="693">
        <v>19</v>
      </c>
      <c r="T16" s="693">
        <v>19</v>
      </c>
      <c r="U16" s="693">
        <v>19</v>
      </c>
      <c r="V16" s="693">
        <v>19</v>
      </c>
      <c r="W16" s="693">
        <v>19</v>
      </c>
      <c r="X16" s="693">
        <v>19</v>
      </c>
      <c r="Y16" s="693">
        <v>7</v>
      </c>
      <c r="Z16" s="693">
        <v>3</v>
      </c>
      <c r="AA16" s="693">
        <v>6</v>
      </c>
      <c r="AB16" s="693">
        <v>34</v>
      </c>
      <c r="AC16" s="693">
        <v>8</v>
      </c>
      <c r="AD16" s="693">
        <v>8</v>
      </c>
      <c r="AE16" s="693">
        <v>10</v>
      </c>
    </row>
  </sheetData>
  <sheetProtection formatColumns="0" formatRows="0" insertRows="0" deleteColumns="0" deleteRows="0" sort="0" autoFilter="0"/>
  <mergeCells count="39">
    <mergeCell ref="F6:K6"/>
    <mergeCell ref="F8:AB8"/>
    <mergeCell ref="U9:X9"/>
    <mergeCell ref="U11:U12"/>
    <mergeCell ref="V11:V12"/>
    <mergeCell ref="W11:W12"/>
    <mergeCell ref="X11:X12"/>
    <mergeCell ref="Q9:T9"/>
    <mergeCell ref="I11:I12"/>
    <mergeCell ref="G11:G12"/>
    <mergeCell ref="T11:T12"/>
    <mergeCell ref="S11:S12"/>
    <mergeCell ref="H9:H10"/>
    <mergeCell ref="H11:H12"/>
    <mergeCell ref="Q11:Q12"/>
    <mergeCell ref="R11:R12"/>
    <mergeCell ref="J9:J10"/>
    <mergeCell ref="K11:K12"/>
    <mergeCell ref="Z11:Z12"/>
    <mergeCell ref="Y9:AB9"/>
    <mergeCell ref="AB11:AB12"/>
    <mergeCell ref="Z10:AA10"/>
    <mergeCell ref="AA11:AA12"/>
    <mergeCell ref="F5:K5"/>
    <mergeCell ref="N11:N12"/>
    <mergeCell ref="O11:O12"/>
    <mergeCell ref="P11:P12"/>
    <mergeCell ref="Y11:Y12"/>
    <mergeCell ref="N9:P9"/>
    <mergeCell ref="M9:M10"/>
    <mergeCell ref="F9:F10"/>
    <mergeCell ref="G9:G10"/>
    <mergeCell ref="I9:I10"/>
    <mergeCell ref="K9:K10"/>
    <mergeCell ref="L9:L10"/>
    <mergeCell ref="F11:F12"/>
    <mergeCell ref="M11:M12"/>
    <mergeCell ref="L11:L12"/>
    <mergeCell ref="J11:J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BG20"/>
  <sheetViews>
    <sheetView showGridLines="0" zoomScale="90" workbookViewId="0">
      <pane xSplit="8" ySplit="12" topLeftCell="I13" activePane="bottomRight" state="frozen"/>
      <selection pane="topRight" activeCell="I1" sqref="I1"/>
      <selection pane="bottomLeft" activeCell="A13" sqref="A13"/>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14" style="1562" customWidth="1"/>
    <col min="7" max="7" width="3" style="1562" customWidth="1"/>
    <col min="8" max="8" width="7" style="1562" customWidth="1"/>
    <col min="9" max="10" width="16" style="1562" customWidth="1"/>
    <col min="11" max="11" width="25" style="1562" customWidth="1"/>
    <col min="12" max="12" width="7" style="1562" customWidth="1"/>
    <col min="13" max="13" width="15" style="1562" customWidth="1"/>
    <col min="14" max="14" width="3" style="1562" customWidth="1"/>
    <col min="15" max="15" width="4" style="1562" customWidth="1"/>
    <col min="16" max="16" width="8" style="1562" customWidth="1"/>
    <col min="17" max="17" width="21" style="1562" customWidth="1"/>
    <col min="18" max="18" width="14" style="1562" customWidth="1"/>
    <col min="19" max="20" width="17" style="1562" customWidth="1"/>
    <col min="21" max="21" width="9" style="1562" customWidth="1"/>
    <col min="22" max="22" width="12" style="1562" customWidth="1"/>
    <col min="23" max="23" width="9" style="1562" customWidth="1"/>
    <col min="24" max="24" width="21" style="1562" customWidth="1"/>
    <col min="25" max="25" width="12" style="1562" customWidth="1"/>
    <col min="26" max="26" width="3" style="1562" customWidth="1"/>
    <col min="27" max="27" width="6" style="1562" customWidth="1"/>
    <col min="28" max="28" width="38" style="1562" customWidth="1"/>
    <col min="29" max="29" width="15" style="1562" customWidth="1"/>
    <col min="30" max="30" width="37.5703125" style="1562" hidden="1" customWidth="1"/>
    <col min="31" max="31" width="15.7109375" style="1562" hidden="1" customWidth="1"/>
    <col min="32" max="34" width="16" style="1562" customWidth="1"/>
    <col min="35" max="37" width="16.7109375" style="1562" hidden="1" customWidth="1"/>
    <col min="38" max="58" width="8" style="1562" customWidth="1"/>
    <col min="59" max="59" width="9.140625" style="1562" hidden="1"/>
  </cols>
  <sheetData>
    <row r="1" spans="1:59" s="1293" customFormat="1" ht="10.5" hidden="1" customHeight="1">
      <c r="A1" s="825"/>
      <c r="B1" s="825"/>
      <c r="C1" s="825"/>
      <c r="E1" s="474"/>
      <c r="H1" s="1087"/>
      <c r="L1" s="1055"/>
      <c r="M1" s="1055"/>
      <c r="AD1" s="1055"/>
      <c r="AH1" s="1074"/>
      <c r="AI1" s="1067"/>
      <c r="BG1" s="354" t="s">
        <v>14</v>
      </c>
    </row>
    <row r="2" spans="1:59" ht="10.5" hidden="1" customHeight="1">
      <c r="BG2" s="693">
        <v>0</v>
      </c>
    </row>
    <row r="3" spans="1:59" s="1559" customFormat="1" ht="10.5" hidden="1" customHeight="1">
      <c r="A3" s="825"/>
      <c r="B3" s="825"/>
      <c r="C3" s="825"/>
      <c r="D3" s="354"/>
      <c r="E3" s="299"/>
      <c r="H3" s="1083"/>
      <c r="L3" s="1053"/>
      <c r="M3" s="1053"/>
      <c r="AD3" s="1053"/>
      <c r="AH3" s="1072"/>
      <c r="AI3" s="1065"/>
      <c r="BG3" s="694">
        <v>0</v>
      </c>
    </row>
    <row r="4" spans="1:59" ht="3" customHeight="1">
      <c r="BG4" s="693">
        <v>3</v>
      </c>
    </row>
    <row r="5" spans="1:59" ht="27" customHeight="1">
      <c r="F5" s="2877" t="str">
        <f>IP_NAME_FORM</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G5" s="2877"/>
      <c r="H5" s="2877"/>
      <c r="I5" s="2877"/>
      <c r="J5" s="2877"/>
      <c r="K5" s="2877"/>
      <c r="L5" s="1062"/>
      <c r="M5" s="1062"/>
      <c r="AG5" s="836"/>
      <c r="AH5" s="1075"/>
      <c r="BG5" s="693">
        <v>26</v>
      </c>
    </row>
    <row r="6" spans="1:59" ht="10.5" customHeight="1">
      <c r="F6" s="2849" t="str">
        <f>IF(org=0,"Не определено",org)</f>
        <v>ТМУП "ТТС"</v>
      </c>
      <c r="G6" s="2849"/>
      <c r="H6" s="2849"/>
      <c r="I6" s="2849"/>
      <c r="J6" s="2849"/>
      <c r="K6" s="2849"/>
      <c r="L6" s="1063"/>
      <c r="M6" s="1063"/>
      <c r="BG6" s="693">
        <v>10</v>
      </c>
    </row>
    <row r="7" spans="1:59" ht="11.25" customHeight="1">
      <c r="E7" s="838"/>
      <c r="F7" s="849"/>
      <c r="G7" s="849"/>
      <c r="H7" s="1111"/>
      <c r="I7" s="849"/>
      <c r="J7" s="849"/>
      <c r="K7" s="851"/>
      <c r="L7" s="1060"/>
      <c r="M7" s="1060"/>
      <c r="N7" s="849"/>
      <c r="O7" s="849"/>
      <c r="P7" s="849"/>
      <c r="Q7" s="851"/>
      <c r="R7" s="849"/>
      <c r="S7" s="849"/>
      <c r="T7" s="849"/>
      <c r="U7" s="849"/>
      <c r="V7" s="849"/>
      <c r="W7" s="849"/>
      <c r="X7" s="849"/>
      <c r="Y7" s="849"/>
      <c r="Z7" s="849"/>
      <c r="AA7" s="849"/>
      <c r="AB7" s="849"/>
      <c r="AC7" s="850"/>
      <c r="AD7" s="1059"/>
      <c r="AE7" s="850"/>
      <c r="AF7" s="849"/>
      <c r="AG7" s="849"/>
      <c r="AH7" s="1077"/>
      <c r="AI7" s="1070"/>
      <c r="AJ7" s="849"/>
      <c r="AK7" s="849"/>
      <c r="AL7" s="840"/>
      <c r="AM7" s="840"/>
      <c r="AN7" s="840"/>
      <c r="AO7" s="837"/>
      <c r="AP7" s="837"/>
      <c r="AQ7" s="837"/>
      <c r="AR7" s="837"/>
      <c r="AS7" s="837"/>
      <c r="AT7" s="837"/>
      <c r="AU7" s="837"/>
      <c r="AV7" s="837"/>
      <c r="AW7" s="837"/>
      <c r="AX7" s="837"/>
      <c r="AY7" s="837"/>
      <c r="AZ7" s="837"/>
      <c r="BA7" s="837"/>
      <c r="BB7" s="837"/>
      <c r="BC7" s="837"/>
      <c r="BD7" s="837"/>
      <c r="BE7" s="837"/>
      <c r="BF7" s="837"/>
      <c r="BG7" s="693">
        <v>11</v>
      </c>
    </row>
    <row r="8" spans="1:59" ht="10.5" customHeight="1">
      <c r="E8" s="838"/>
      <c r="F8" s="3018" t="s">
        <v>345</v>
      </c>
      <c r="G8" s="3019"/>
      <c r="H8" s="3019"/>
      <c r="I8" s="3019"/>
      <c r="J8" s="3019"/>
      <c r="K8" s="3019"/>
      <c r="L8" s="3019"/>
      <c r="M8" s="3019"/>
      <c r="N8" s="3019"/>
      <c r="O8" s="3019"/>
      <c r="P8" s="3019"/>
      <c r="Q8" s="3019"/>
      <c r="R8" s="3019"/>
      <c r="S8" s="3019"/>
      <c r="T8" s="3019"/>
      <c r="U8" s="3019"/>
      <c r="V8" s="3019"/>
      <c r="W8" s="3019"/>
      <c r="X8" s="3019"/>
      <c r="Y8" s="3019"/>
      <c r="Z8" s="3019"/>
      <c r="AA8" s="3019"/>
      <c r="AB8" s="3019"/>
      <c r="AC8" s="3019"/>
      <c r="AD8" s="3019"/>
      <c r="AE8" s="3019"/>
      <c r="AF8" s="3019"/>
      <c r="AG8" s="3019"/>
      <c r="AH8" s="3019"/>
      <c r="AI8" s="3019"/>
      <c r="AJ8" s="3019"/>
      <c r="AK8" s="3020"/>
      <c r="AL8" s="839"/>
      <c r="AM8" s="837"/>
      <c r="AN8" s="837"/>
      <c r="AO8" s="837"/>
      <c r="AP8" s="837"/>
      <c r="AQ8" s="837"/>
      <c r="AR8" s="837"/>
      <c r="AS8" s="837"/>
      <c r="AT8" s="837"/>
      <c r="AU8" s="837"/>
      <c r="AV8" s="837"/>
      <c r="AW8" s="837"/>
      <c r="AX8" s="837"/>
      <c r="AY8" s="837"/>
      <c r="AZ8" s="837"/>
      <c r="BA8" s="837"/>
      <c r="BB8" s="837"/>
      <c r="BC8" s="837"/>
      <c r="BD8" s="837"/>
      <c r="BE8" s="837"/>
      <c r="BF8" s="837"/>
      <c r="BG8" s="693">
        <v>10</v>
      </c>
    </row>
    <row r="9" spans="1:59" ht="24" customHeight="1">
      <c r="A9" s="835"/>
      <c r="B9" s="835"/>
      <c r="C9" s="835"/>
      <c r="E9" s="838"/>
      <c r="F9" s="2857" t="s">
        <v>1031</v>
      </c>
      <c r="G9" s="2959" t="s">
        <v>1032</v>
      </c>
      <c r="H9" s="3000"/>
      <c r="I9" s="2758" t="s">
        <v>1033</v>
      </c>
      <c r="J9" s="2758"/>
      <c r="K9" s="2758" t="s">
        <v>1034</v>
      </c>
      <c r="L9" s="2758"/>
      <c r="M9" s="2758"/>
      <c r="N9" s="2758"/>
      <c r="O9" s="2758"/>
      <c r="P9" s="2758"/>
      <c r="Q9" s="2758"/>
      <c r="R9" s="2758"/>
      <c r="S9" s="2758"/>
      <c r="T9" s="2758"/>
      <c r="U9" s="2758"/>
      <c r="V9" s="2758"/>
      <c r="W9" s="2758"/>
      <c r="X9" s="2758"/>
      <c r="Y9" s="2758"/>
      <c r="Z9" s="2830" t="s">
        <v>1035</v>
      </c>
      <c r="AA9" s="2831"/>
      <c r="AB9" s="2758" t="s">
        <v>1036</v>
      </c>
      <c r="AC9" s="2758"/>
      <c r="AD9" s="2758"/>
      <c r="AE9" s="2758"/>
      <c r="AF9" s="2829" t="s">
        <v>1037</v>
      </c>
      <c r="AG9" s="2758" t="s">
        <v>1038</v>
      </c>
      <c r="AH9" s="2758"/>
      <c r="AI9" s="2829" t="s">
        <v>1039</v>
      </c>
      <c r="AJ9" s="2758" t="s">
        <v>1040</v>
      </c>
      <c r="AK9" s="2758"/>
      <c r="AL9" s="1069"/>
      <c r="AM9" s="837"/>
      <c r="AN9" s="837"/>
      <c r="AO9" s="837"/>
      <c r="AP9" s="837"/>
      <c r="AQ9" s="837"/>
      <c r="AR9" s="837"/>
      <c r="AS9" s="837"/>
      <c r="AT9" s="837"/>
      <c r="AU9" s="837"/>
      <c r="AV9" s="837"/>
      <c r="AW9" s="837"/>
      <c r="AX9" s="837"/>
      <c r="AY9" s="837"/>
      <c r="AZ9" s="837"/>
      <c r="BA9" s="837"/>
      <c r="BB9" s="837"/>
      <c r="BC9" s="837"/>
      <c r="BD9" s="837"/>
      <c r="BE9" s="837"/>
      <c r="BF9" s="837"/>
      <c r="BG9" s="693">
        <v>23</v>
      </c>
    </row>
    <row r="10" spans="1:59" ht="25.5" customHeight="1">
      <c r="A10" s="835"/>
      <c r="B10" s="835"/>
      <c r="C10" s="835"/>
      <c r="E10" s="842"/>
      <c r="F10" s="2857"/>
      <c r="G10" s="2960"/>
      <c r="H10" s="2861"/>
      <c r="I10" s="2758"/>
      <c r="J10" s="2758"/>
      <c r="K10" s="2758" t="s">
        <v>1041</v>
      </c>
      <c r="L10" s="2740" t="s">
        <v>1042</v>
      </c>
      <c r="M10" s="2739"/>
      <c r="N10" s="2758" t="s">
        <v>1043</v>
      </c>
      <c r="O10" s="2758"/>
      <c r="P10" s="2758"/>
      <c r="Q10" s="2758"/>
      <c r="R10" s="2758"/>
      <c r="S10" s="2758"/>
      <c r="T10" s="2758"/>
      <c r="U10" s="2758"/>
      <c r="V10" s="2758"/>
      <c r="W10" s="2758"/>
      <c r="X10" s="2758"/>
      <c r="Y10" s="2758"/>
      <c r="Z10" s="2832"/>
      <c r="AA10" s="2833"/>
      <c r="AB10" s="2758"/>
      <c r="AC10" s="2758"/>
      <c r="AD10" s="2758"/>
      <c r="AE10" s="2758"/>
      <c r="AF10" s="2834"/>
      <c r="AG10" s="2758"/>
      <c r="AH10" s="2758"/>
      <c r="AI10" s="2834"/>
      <c r="AJ10" s="2758"/>
      <c r="AK10" s="2758"/>
      <c r="AL10" s="1069"/>
      <c r="AM10" s="843"/>
      <c r="AN10" s="843"/>
      <c r="AO10" s="843"/>
      <c r="AP10" s="843"/>
      <c r="AQ10" s="843"/>
      <c r="AR10" s="843"/>
      <c r="AS10" s="843"/>
      <c r="AT10" s="843"/>
      <c r="AU10" s="843"/>
      <c r="AV10" s="843"/>
      <c r="AW10" s="843"/>
      <c r="AX10" s="843"/>
      <c r="AY10" s="843"/>
      <c r="AZ10" s="843"/>
      <c r="BA10" s="843"/>
      <c r="BB10" s="843"/>
      <c r="BC10" s="843"/>
      <c r="BD10" s="843"/>
      <c r="BE10" s="843"/>
      <c r="BF10" s="843"/>
      <c r="BG10" s="693">
        <v>24</v>
      </c>
    </row>
    <row r="11" spans="1:59" s="1562" customFormat="1" ht="25.5" customHeight="1">
      <c r="A11" s="1056"/>
      <c r="B11" s="1056"/>
      <c r="C11" s="1056"/>
      <c r="D11" s="1055"/>
      <c r="E11" s="1057"/>
      <c r="F11" s="2857"/>
      <c r="G11" s="2960"/>
      <c r="H11" s="2861"/>
      <c r="I11" s="2758"/>
      <c r="J11" s="2758"/>
      <c r="K11" s="2758"/>
      <c r="L11" s="2829" t="s">
        <v>1044</v>
      </c>
      <c r="M11" s="2829" t="s">
        <v>1045</v>
      </c>
      <c r="N11" s="2758" t="s">
        <v>1046</v>
      </c>
      <c r="O11" s="2758"/>
      <c r="P11" s="2817" t="s">
        <v>1027</v>
      </c>
      <c r="Q11" s="2817" t="s">
        <v>1047</v>
      </c>
      <c r="R11" s="2817" t="s">
        <v>1048</v>
      </c>
      <c r="S11" s="2817" t="s">
        <v>1049</v>
      </c>
      <c r="T11" s="2817"/>
      <c r="U11" s="2817"/>
      <c r="V11" s="2817"/>
      <c r="W11" s="2817"/>
      <c r="X11" s="2817"/>
      <c r="Y11" s="2817"/>
      <c r="Z11" s="2832"/>
      <c r="AA11" s="2833"/>
      <c r="AB11" s="2758" t="s">
        <v>1050</v>
      </c>
      <c r="AC11" s="2758"/>
      <c r="AD11" s="2740" t="s">
        <v>1051</v>
      </c>
      <c r="AE11" s="2739"/>
      <c r="AF11" s="2834"/>
      <c r="AG11" s="2758"/>
      <c r="AH11" s="2758"/>
      <c r="AI11" s="2834"/>
      <c r="AJ11" s="2758"/>
      <c r="AK11" s="2758"/>
      <c r="AL11" s="1069"/>
      <c r="AM11" s="1054"/>
      <c r="AN11" s="1054"/>
      <c r="AO11" s="1054"/>
      <c r="AP11" s="1054"/>
      <c r="AQ11" s="1054"/>
      <c r="AR11" s="1054"/>
      <c r="AS11" s="1054"/>
      <c r="AT11" s="1054"/>
      <c r="AU11" s="1054"/>
      <c r="AV11" s="1054"/>
      <c r="AW11" s="1054"/>
      <c r="AX11" s="1054"/>
      <c r="AY11" s="1054"/>
      <c r="AZ11" s="1054"/>
      <c r="BA11" s="1054"/>
      <c r="BB11" s="1054"/>
      <c r="BC11" s="1054"/>
      <c r="BD11" s="1054"/>
      <c r="BE11" s="1054"/>
      <c r="BF11" s="1054"/>
      <c r="BG11" s="1052">
        <v>24</v>
      </c>
    </row>
    <row r="12" spans="1:59" ht="36" customHeight="1">
      <c r="A12" s="835"/>
      <c r="B12" s="835"/>
      <c r="C12" s="835"/>
      <c r="E12" s="838"/>
      <c r="F12" s="2857"/>
      <c r="G12" s="2961"/>
      <c r="H12" s="3017"/>
      <c r="I12" s="1080" t="s">
        <v>94</v>
      </c>
      <c r="J12" s="1080" t="s">
        <v>1052</v>
      </c>
      <c r="K12" s="2758"/>
      <c r="L12" s="2882"/>
      <c r="M12" s="2882"/>
      <c r="N12" s="2758"/>
      <c r="O12" s="2758"/>
      <c r="P12" s="2817"/>
      <c r="Q12" s="2817"/>
      <c r="R12" s="2817"/>
      <c r="S12" s="1061" t="s">
        <v>91</v>
      </c>
      <c r="T12" s="1061" t="s">
        <v>92</v>
      </c>
      <c r="U12" s="1061" t="s">
        <v>90</v>
      </c>
      <c r="V12" s="1061" t="s">
        <v>1053</v>
      </c>
      <c r="W12" s="1061" t="s">
        <v>90</v>
      </c>
      <c r="X12" s="1061" t="s">
        <v>1054</v>
      </c>
      <c r="Y12" s="1061" t="s">
        <v>1055</v>
      </c>
      <c r="Z12" s="2835"/>
      <c r="AA12" s="2836"/>
      <c r="AB12" s="1068" t="s">
        <v>1056</v>
      </c>
      <c r="AC12" s="1068" t="s">
        <v>1057</v>
      </c>
      <c r="AD12" s="1068" t="s">
        <v>1056</v>
      </c>
      <c r="AE12" s="1068" t="s">
        <v>1057</v>
      </c>
      <c r="AF12" s="2882"/>
      <c r="AG12" s="1081" t="s">
        <v>1058</v>
      </c>
      <c r="AH12" s="1081" t="s">
        <v>1059</v>
      </c>
      <c r="AI12" s="2882"/>
      <c r="AJ12" s="1081" t="s">
        <v>1058</v>
      </c>
      <c r="AK12" s="1081" t="s">
        <v>1059</v>
      </c>
      <c r="AL12" s="1069"/>
      <c r="AM12" s="837"/>
      <c r="AN12" s="837"/>
      <c r="AO12" s="837"/>
      <c r="AP12" s="837"/>
      <c r="AQ12" s="837"/>
      <c r="AR12" s="837"/>
      <c r="AS12" s="837"/>
      <c r="AT12" s="837"/>
      <c r="AU12" s="837"/>
      <c r="AV12" s="837"/>
      <c r="AW12" s="837"/>
      <c r="AX12" s="837"/>
      <c r="AY12" s="837"/>
      <c r="AZ12" s="837"/>
      <c r="BA12" s="837"/>
      <c r="BB12" s="837"/>
      <c r="BC12" s="837"/>
      <c r="BD12" s="837"/>
      <c r="BE12" s="837"/>
      <c r="BF12" s="837"/>
      <c r="BG12" s="693">
        <v>34</v>
      </c>
    </row>
    <row r="13" spans="1:59" ht="0.75" customHeight="1">
      <c r="E13" s="838"/>
      <c r="F13" s="1051">
        <v>0</v>
      </c>
      <c r="G13" s="1051"/>
      <c r="H13" s="1051"/>
      <c r="I13" s="1051"/>
      <c r="J13" s="1051"/>
      <c r="K13" s="1058"/>
      <c r="L13" s="1058"/>
      <c r="M13" s="1058"/>
      <c r="N13" s="1058"/>
      <c r="O13" s="1058"/>
      <c r="P13" s="1058"/>
      <c r="Q13" s="1058"/>
      <c r="R13" s="1058"/>
      <c r="S13" s="1058"/>
      <c r="T13" s="1058"/>
      <c r="U13" s="1058"/>
      <c r="V13" s="1058"/>
      <c r="W13" s="1058"/>
      <c r="X13" s="1058"/>
      <c r="Y13" s="1058"/>
      <c r="Z13" s="1058"/>
      <c r="AA13" s="1058"/>
      <c r="AB13" s="1058"/>
      <c r="AC13" s="1058"/>
      <c r="AD13" s="1058"/>
      <c r="AE13" s="1058"/>
      <c r="AF13" s="1058"/>
      <c r="AG13" s="1058"/>
      <c r="AH13" s="1076"/>
      <c r="AI13" s="1069"/>
      <c r="AJ13" s="1058"/>
      <c r="AK13" s="1058"/>
      <c r="AL13" s="839"/>
      <c r="AM13" s="837"/>
      <c r="AN13" s="837"/>
      <c r="AO13" s="837"/>
      <c r="AP13" s="837"/>
      <c r="AQ13" s="837"/>
      <c r="AR13" s="837"/>
      <c r="AS13" s="837"/>
      <c r="AT13" s="837"/>
      <c r="AU13" s="837"/>
      <c r="AV13" s="837"/>
      <c r="AW13" s="837"/>
      <c r="AX13" s="837"/>
      <c r="AY13" s="837"/>
      <c r="AZ13" s="837"/>
      <c r="BA13" s="837"/>
      <c r="BB13" s="837"/>
      <c r="BC13" s="837"/>
      <c r="BD13" s="837"/>
      <c r="BE13" s="837"/>
      <c r="BF13" s="837"/>
      <c r="BG13" s="693">
        <v>1</v>
      </c>
    </row>
    <row r="14" spans="1:59" ht="10.5" customHeight="1">
      <c r="E14" s="837"/>
      <c r="F14" s="848"/>
      <c r="G14" s="848"/>
      <c r="H14" s="1099"/>
      <c r="I14" s="848"/>
      <c r="J14" s="848"/>
      <c r="K14" s="848"/>
      <c r="L14" s="1058"/>
      <c r="M14" s="1058"/>
      <c r="N14" s="848"/>
      <c r="O14" s="848"/>
      <c r="P14" s="848"/>
      <c r="Q14" s="848"/>
      <c r="R14" s="848"/>
      <c r="S14" s="848"/>
      <c r="T14" s="848"/>
      <c r="U14" s="848"/>
      <c r="V14" s="848"/>
      <c r="W14" s="848"/>
      <c r="X14" s="848"/>
      <c r="Y14" s="848"/>
      <c r="Z14" s="848"/>
      <c r="AA14" s="848"/>
      <c r="AB14" s="848"/>
      <c r="AC14" s="848"/>
      <c r="AD14" s="1058"/>
      <c r="AE14" s="848"/>
      <c r="AF14" s="848"/>
      <c r="AG14" s="848"/>
      <c r="AH14" s="1076"/>
      <c r="AI14" s="1069"/>
      <c r="AJ14" s="848"/>
      <c r="AK14" s="848"/>
      <c r="AL14" s="837"/>
      <c r="AM14" s="837"/>
      <c r="AN14" s="837"/>
      <c r="AO14" s="837"/>
      <c r="AP14" s="837"/>
      <c r="AQ14" s="837"/>
      <c r="AR14" s="837"/>
      <c r="AS14" s="837"/>
      <c r="AT14" s="837"/>
      <c r="AU14" s="837"/>
      <c r="AV14" s="837"/>
      <c r="AW14" s="837"/>
      <c r="AX14" s="837"/>
      <c r="AY14" s="837"/>
      <c r="AZ14" s="837"/>
      <c r="BA14" s="837"/>
      <c r="BB14" s="837"/>
      <c r="BC14" s="837"/>
      <c r="BD14" s="837"/>
      <c r="BE14" s="837"/>
      <c r="BF14" s="837"/>
      <c r="BG14" s="693">
        <v>10</v>
      </c>
    </row>
    <row r="15" spans="1:59" ht="13.5" customHeight="1">
      <c r="E15" s="837"/>
      <c r="F15" s="844" t="s">
        <v>1060</v>
      </c>
      <c r="G15" s="844"/>
      <c r="H15" s="1098"/>
      <c r="I15" s="844"/>
      <c r="J15" s="844"/>
      <c r="K15" s="841"/>
      <c r="L15" s="1054"/>
      <c r="M15" s="1054"/>
      <c r="N15" s="843"/>
      <c r="O15" s="843"/>
      <c r="P15" s="843"/>
      <c r="Q15" s="843"/>
      <c r="R15" s="843"/>
      <c r="S15" s="843"/>
      <c r="T15" s="843"/>
      <c r="U15" s="843"/>
      <c r="V15" s="843"/>
      <c r="W15" s="843"/>
      <c r="X15" s="843"/>
      <c r="Y15" s="843"/>
      <c r="Z15" s="841"/>
      <c r="AA15" s="841"/>
      <c r="AB15" s="841"/>
      <c r="AC15" s="841"/>
      <c r="AD15" s="1054"/>
      <c r="AE15" s="841"/>
      <c r="AF15" s="841"/>
      <c r="AG15" s="841"/>
      <c r="AH15" s="1073"/>
      <c r="AI15" s="1066"/>
      <c r="AJ15" s="841"/>
      <c r="AK15" s="841"/>
      <c r="AL15" s="837"/>
      <c r="AM15" s="837"/>
      <c r="AN15" s="837"/>
      <c r="AO15" s="837"/>
      <c r="AP15" s="837"/>
      <c r="AQ15" s="837"/>
      <c r="AR15" s="837"/>
      <c r="AS15" s="837"/>
      <c r="AT15" s="837"/>
      <c r="AU15" s="837"/>
      <c r="AV15" s="837"/>
      <c r="AW15" s="837"/>
      <c r="AX15" s="837"/>
      <c r="AY15" s="837"/>
      <c r="AZ15" s="837"/>
      <c r="BA15" s="837"/>
      <c r="BB15" s="837"/>
      <c r="BC15" s="837"/>
      <c r="BD15" s="837"/>
      <c r="BE15" s="837"/>
      <c r="BF15" s="837"/>
      <c r="BG15" s="693">
        <v>13</v>
      </c>
    </row>
    <row r="16" spans="1:59" ht="10.5" customHeight="1">
      <c r="BG16" s="693">
        <v>10</v>
      </c>
    </row>
    <row r="17" spans="1:59" ht="10.5" customHeight="1">
      <c r="E17" s="837"/>
      <c r="F17" s="3016"/>
      <c r="G17" s="3016"/>
      <c r="H17" s="3016"/>
      <c r="I17" s="3016"/>
      <c r="J17" s="3016"/>
      <c r="K17" s="841"/>
      <c r="L17" s="1054"/>
      <c r="M17" s="1054"/>
      <c r="N17" s="843"/>
      <c r="O17" s="843"/>
      <c r="P17" s="843"/>
      <c r="Q17" s="843"/>
      <c r="R17" s="843"/>
      <c r="S17" s="843"/>
      <c r="T17" s="843"/>
      <c r="U17" s="843"/>
      <c r="V17" s="843"/>
      <c r="W17" s="843"/>
      <c r="X17" s="843"/>
      <c r="Y17" s="843"/>
      <c r="Z17" s="841"/>
      <c r="AA17" s="841"/>
      <c r="AB17" s="841"/>
      <c r="AC17" s="841"/>
      <c r="AD17" s="1054"/>
      <c r="AE17" s="841"/>
      <c r="AF17" s="841"/>
      <c r="AG17" s="841"/>
      <c r="AH17" s="1073"/>
      <c r="AI17" s="1066"/>
      <c r="AJ17" s="841"/>
      <c r="AK17" s="841"/>
      <c r="AL17" s="837"/>
      <c r="AM17" s="837"/>
      <c r="AN17" s="837"/>
      <c r="AO17" s="837"/>
      <c r="AP17" s="837"/>
      <c r="AQ17" s="837"/>
      <c r="AR17" s="837"/>
      <c r="AS17" s="837"/>
      <c r="AT17" s="837"/>
      <c r="AU17" s="837"/>
      <c r="AV17" s="837"/>
      <c r="AW17" s="837"/>
      <c r="AX17" s="837"/>
      <c r="AY17" s="837"/>
      <c r="AZ17" s="837"/>
      <c r="BA17" s="837"/>
      <c r="BB17" s="837"/>
      <c r="BC17" s="837"/>
      <c r="BD17" s="837"/>
      <c r="BE17" s="837"/>
      <c r="BF17" s="837"/>
      <c r="BG17" s="693">
        <v>10</v>
      </c>
    </row>
    <row r="18" spans="1:59" ht="10.5" customHeight="1">
      <c r="E18" s="837"/>
      <c r="F18" s="3016"/>
      <c r="G18" s="3016"/>
      <c r="H18" s="3016"/>
      <c r="I18" s="3016"/>
      <c r="J18" s="3016"/>
      <c r="K18" s="841"/>
      <c r="L18" s="1054"/>
      <c r="M18" s="1054"/>
      <c r="N18" s="843"/>
      <c r="O18" s="843"/>
      <c r="P18" s="843"/>
      <c r="Q18" s="843"/>
      <c r="R18" s="843"/>
      <c r="S18" s="843"/>
      <c r="T18" s="843"/>
      <c r="U18" s="843"/>
      <c r="V18" s="843"/>
      <c r="W18" s="843"/>
      <c r="X18" s="843"/>
      <c r="Y18" s="843"/>
      <c r="Z18" s="841"/>
      <c r="AA18" s="841"/>
      <c r="AB18" s="841"/>
      <c r="AC18" s="841"/>
      <c r="AD18" s="1054"/>
      <c r="AE18" s="841"/>
      <c r="AF18" s="841"/>
      <c r="AG18" s="841"/>
      <c r="AH18" s="1073"/>
      <c r="AI18" s="1066"/>
      <c r="AJ18" s="841"/>
      <c r="AK18" s="841"/>
      <c r="AL18" s="837"/>
      <c r="AM18" s="837"/>
      <c r="AN18" s="837"/>
      <c r="AO18" s="837"/>
      <c r="AP18" s="837"/>
      <c r="AQ18" s="837"/>
      <c r="AR18" s="837"/>
      <c r="AS18" s="837"/>
      <c r="AT18" s="837"/>
      <c r="AU18" s="837"/>
      <c r="AV18" s="837"/>
      <c r="AW18" s="837"/>
      <c r="AX18" s="837"/>
      <c r="AY18" s="837"/>
      <c r="AZ18" s="837"/>
      <c r="BA18" s="837"/>
      <c r="BB18" s="837"/>
      <c r="BC18" s="837"/>
      <c r="BD18" s="837"/>
      <c r="BE18" s="837"/>
      <c r="BF18" s="837"/>
      <c r="BG18" s="693">
        <v>10</v>
      </c>
    </row>
    <row r="19" spans="1:59" ht="10.5" customHeight="1">
      <c r="E19" s="837"/>
      <c r="F19" s="3016"/>
      <c r="G19" s="3016"/>
      <c r="H19" s="3016"/>
      <c r="I19" s="3016"/>
      <c r="J19" s="3016"/>
      <c r="K19" s="841"/>
      <c r="L19" s="1054"/>
      <c r="M19" s="1054"/>
      <c r="N19" s="843"/>
      <c r="O19" s="843"/>
      <c r="P19" s="843"/>
      <c r="Q19" s="843"/>
      <c r="R19" s="843"/>
      <c r="S19" s="843"/>
      <c r="T19" s="843"/>
      <c r="U19" s="843"/>
      <c r="V19" s="843"/>
      <c r="W19" s="843"/>
      <c r="X19" s="843"/>
      <c r="Y19" s="843"/>
      <c r="Z19" s="841"/>
      <c r="AA19" s="841"/>
      <c r="AB19" s="841"/>
      <c r="AC19" s="841"/>
      <c r="AD19" s="1054"/>
      <c r="AE19" s="841"/>
      <c r="AF19" s="841"/>
      <c r="AG19" s="841"/>
      <c r="AH19" s="1073"/>
      <c r="AI19" s="1066"/>
      <c r="AJ19" s="841"/>
      <c r="AK19" s="841"/>
      <c r="AL19" s="837"/>
      <c r="AM19" s="837"/>
      <c r="AN19" s="837"/>
      <c r="AO19" s="837"/>
      <c r="AP19" s="837"/>
      <c r="AQ19" s="837"/>
      <c r="AR19" s="837"/>
      <c r="AS19" s="837"/>
      <c r="AT19" s="837"/>
      <c r="AU19" s="837"/>
      <c r="AV19" s="837"/>
      <c r="AW19" s="837"/>
      <c r="AX19" s="837"/>
      <c r="AY19" s="837"/>
      <c r="AZ19" s="837"/>
      <c r="BA19" s="837"/>
      <c r="BB19" s="837"/>
      <c r="BC19" s="837"/>
      <c r="BD19" s="837"/>
      <c r="BE19" s="837"/>
      <c r="BF19" s="837"/>
      <c r="BG19" s="693">
        <v>10</v>
      </c>
    </row>
    <row r="20" spans="1:59" ht="10.5" hidden="1" customHeight="1">
      <c r="A20" s="825" t="s">
        <v>87</v>
      </c>
      <c r="B20" s="825">
        <v>0</v>
      </c>
      <c r="C20" s="825">
        <v>0</v>
      </c>
      <c r="D20" s="354">
        <v>0</v>
      </c>
      <c r="E20" s="446">
        <v>3</v>
      </c>
      <c r="F20" s="693">
        <v>14</v>
      </c>
      <c r="G20" s="693">
        <v>3</v>
      </c>
      <c r="H20" s="1082">
        <v>7</v>
      </c>
      <c r="I20" s="693">
        <v>16</v>
      </c>
      <c r="J20" s="693">
        <v>16</v>
      </c>
      <c r="K20" s="693">
        <v>25</v>
      </c>
      <c r="L20" s="1052">
        <v>7</v>
      </c>
      <c r="M20" s="1052">
        <v>15</v>
      </c>
      <c r="N20" s="693">
        <v>3</v>
      </c>
      <c r="O20" s="693">
        <v>4</v>
      </c>
      <c r="P20" s="693">
        <v>8</v>
      </c>
      <c r="Q20" s="693">
        <v>21</v>
      </c>
      <c r="R20" s="693">
        <v>14</v>
      </c>
      <c r="S20" s="693">
        <v>17</v>
      </c>
      <c r="T20" s="693">
        <v>17</v>
      </c>
      <c r="U20" s="693">
        <v>9</v>
      </c>
      <c r="V20" s="693">
        <v>12</v>
      </c>
      <c r="W20" s="693">
        <v>9</v>
      </c>
      <c r="X20" s="693">
        <v>21</v>
      </c>
      <c r="Y20" s="693">
        <v>12</v>
      </c>
      <c r="Z20" s="693">
        <v>3</v>
      </c>
      <c r="AA20" s="693">
        <v>6</v>
      </c>
      <c r="AB20" s="693">
        <v>38</v>
      </c>
      <c r="AC20" s="693">
        <v>15</v>
      </c>
      <c r="AD20" s="1052">
        <v>0</v>
      </c>
      <c r="AE20" s="693">
        <v>0</v>
      </c>
      <c r="AF20" s="693">
        <v>16</v>
      </c>
      <c r="AG20" s="693">
        <v>16</v>
      </c>
      <c r="AH20" s="1071">
        <v>16</v>
      </c>
      <c r="AI20" s="1064">
        <v>0</v>
      </c>
      <c r="AJ20" s="693">
        <v>0</v>
      </c>
      <c r="AK20" s="693">
        <v>0</v>
      </c>
      <c r="AL20" s="693">
        <v>8</v>
      </c>
      <c r="AM20" s="693">
        <v>8</v>
      </c>
      <c r="AN20" s="693">
        <v>8</v>
      </c>
      <c r="AO20" s="693">
        <v>8</v>
      </c>
      <c r="AP20" s="693">
        <v>8</v>
      </c>
      <c r="AQ20" s="693">
        <v>8</v>
      </c>
      <c r="AR20" s="693">
        <v>8</v>
      </c>
      <c r="AS20" s="693">
        <v>8</v>
      </c>
      <c r="AT20" s="693">
        <v>8</v>
      </c>
      <c r="AU20" s="693">
        <v>8</v>
      </c>
      <c r="AV20" s="693">
        <v>8</v>
      </c>
      <c r="AW20" s="693">
        <v>8</v>
      </c>
      <c r="AX20" s="693">
        <v>8</v>
      </c>
      <c r="AY20" s="693">
        <v>8</v>
      </c>
      <c r="AZ20" s="693">
        <v>8</v>
      </c>
      <c r="BA20" s="693">
        <v>8</v>
      </c>
      <c r="BB20" s="693">
        <v>8</v>
      </c>
      <c r="BC20" s="693">
        <v>8</v>
      </c>
      <c r="BD20" s="693">
        <v>8</v>
      </c>
      <c r="BE20" s="693">
        <v>8</v>
      </c>
      <c r="BF20" s="693">
        <v>8</v>
      </c>
      <c r="BG20" s="693">
        <v>10</v>
      </c>
    </row>
  </sheetData>
  <sheetProtection formatColumns="0" formatRows="0" insertRows="0" deleteColumns="0" deleteRows="0" sort="0" autoFilter="0"/>
  <mergeCells count="28">
    <mergeCell ref="I9:J11"/>
    <mergeCell ref="K10:K12"/>
    <mergeCell ref="F18:J18"/>
    <mergeCell ref="F17:J17"/>
    <mergeCell ref="F5:K5"/>
    <mergeCell ref="F19:J19"/>
    <mergeCell ref="F9:F12"/>
    <mergeCell ref="G9:H12"/>
    <mergeCell ref="F6:K6"/>
    <mergeCell ref="F8:AK8"/>
    <mergeCell ref="R11:R12"/>
    <mergeCell ref="L10:M10"/>
    <mergeCell ref="Z9:AA12"/>
    <mergeCell ref="M11:M12"/>
    <mergeCell ref="L11:L12"/>
    <mergeCell ref="AB11:AC11"/>
    <mergeCell ref="AD11:AE11"/>
    <mergeCell ref="AI9:AI12"/>
    <mergeCell ref="AG9:AH11"/>
    <mergeCell ref="AJ9:AK11"/>
    <mergeCell ref="AF9:AF12"/>
    <mergeCell ref="AB9:AE10"/>
    <mergeCell ref="S11:Y11"/>
    <mergeCell ref="N10:Y10"/>
    <mergeCell ref="K9:Y9"/>
    <mergeCell ref="N11:O12"/>
    <mergeCell ref="P11:P12"/>
    <mergeCell ref="Q11:Q12"/>
  </mergeCell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W59"/>
  <sheetViews>
    <sheetView showGridLines="0" zoomScale="85" workbookViewId="0">
      <pane xSplit="9" ySplit="13" topLeftCell="J14" activePane="bottomRight" state="frozen"/>
      <selection pane="topRight" activeCell="J1" sqref="J1"/>
      <selection pane="bottomLeft" activeCell="A14" sqref="A14"/>
      <selection pane="bottomRight"/>
    </sheetView>
  </sheetViews>
  <sheetFormatPr defaultColWidth="9.140625" defaultRowHeight="10.5" customHeight="1"/>
  <cols>
    <col min="1" max="3" width="4.140625" style="1093" hidden="1" customWidth="1"/>
    <col min="4" max="4" width="4.140625" style="1293" hidden="1" customWidth="1"/>
    <col min="5" max="5" width="3" style="1562" customWidth="1"/>
    <col min="6" max="6" width="6" style="1562" customWidth="1"/>
    <col min="7" max="7" width="60" style="1562" customWidth="1"/>
    <col min="8" max="9" width="21.7109375" style="1562" hidden="1" customWidth="1"/>
    <col min="10" max="10" width="0.140625" style="1562" customWidth="1"/>
    <col min="11" max="11" width="1" style="1562" customWidth="1"/>
    <col min="12" max="22" width="8" style="1562" customWidth="1"/>
    <col min="23" max="23" width="9.140625" style="1562" hidden="1"/>
  </cols>
  <sheetData>
    <row r="1" spans="1:23" s="1293" customFormat="1" ht="10.5" hidden="1" customHeight="1">
      <c r="A1" s="1093"/>
      <c r="B1" s="1093"/>
      <c r="C1" s="1093"/>
      <c r="E1" s="474"/>
      <c r="W1" s="1087" t="s">
        <v>14</v>
      </c>
    </row>
    <row r="2" spans="1:23" ht="10.5" hidden="1" customHeight="1">
      <c r="W2" s="1082">
        <v>0</v>
      </c>
    </row>
    <row r="3" spans="1:23" s="1559" customFormat="1" ht="10.5" hidden="1" customHeight="1">
      <c r="A3" s="1093"/>
      <c r="B3" s="1093"/>
      <c r="C3" s="1093"/>
      <c r="D3" s="1087"/>
      <c r="E3" s="299"/>
      <c r="W3" s="1083">
        <v>0</v>
      </c>
    </row>
    <row r="4" spans="1:23" ht="3" customHeight="1">
      <c r="W4" s="1082">
        <v>3</v>
      </c>
    </row>
    <row r="5" spans="1:23" ht="27" customHeight="1">
      <c r="F5" s="2877" t="str">
        <f>IP_NAME_FORM&amp;"
Финансовый план"</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Финансовый план</v>
      </c>
      <c r="G5" s="2877"/>
      <c r="H5" s="2877"/>
      <c r="I5" s="2877"/>
      <c r="J5" s="2877"/>
      <c r="W5" s="1082">
        <v>26</v>
      </c>
    </row>
    <row r="6" spans="1:23" ht="10.5" customHeight="1">
      <c r="F6" s="2849" t="str">
        <f>IF(org=0,"Не определено",org)</f>
        <v>ТМУП "ТТС"</v>
      </c>
      <c r="G6" s="2849"/>
      <c r="H6" s="2849"/>
      <c r="I6" s="2849"/>
      <c r="J6" s="2849"/>
      <c r="W6" s="1082">
        <v>10</v>
      </c>
    </row>
    <row r="7" spans="1:23" ht="11.25" customHeight="1">
      <c r="E7" s="1097"/>
      <c r="F7" s="1154"/>
      <c r="G7" s="1154"/>
      <c r="H7" s="1154"/>
      <c r="I7" s="1154"/>
      <c r="J7" s="1154"/>
      <c r="K7" s="1084"/>
      <c r="L7" s="1084"/>
      <c r="M7" s="1084"/>
      <c r="N7" s="1084"/>
      <c r="O7" s="1084"/>
      <c r="P7" s="1084"/>
      <c r="Q7" s="1084"/>
      <c r="R7" s="1084"/>
      <c r="S7" s="1084"/>
      <c r="T7" s="1084"/>
      <c r="U7" s="1084"/>
      <c r="V7" s="1084"/>
      <c r="W7" s="1082">
        <v>11</v>
      </c>
    </row>
    <row r="8" spans="1:23" s="1569" customFormat="1" ht="4.5" customHeight="1">
      <c r="A8" s="1094"/>
      <c r="B8" s="1094"/>
      <c r="C8" s="1094"/>
      <c r="E8" s="1155"/>
      <c r="F8" s="1156"/>
      <c r="G8" s="1156"/>
      <c r="H8" s="1156"/>
      <c r="I8" s="1156"/>
      <c r="J8" s="1156"/>
      <c r="K8" s="1155"/>
      <c r="L8" s="1155"/>
      <c r="M8" s="1155"/>
      <c r="N8" s="1155"/>
      <c r="O8" s="1155"/>
      <c r="P8" s="1155"/>
      <c r="Q8" s="1155"/>
      <c r="R8" s="1155"/>
      <c r="S8" s="1155"/>
      <c r="T8" s="1155"/>
      <c r="U8" s="1155"/>
      <c r="V8" s="1155"/>
      <c r="W8" s="448">
        <v>4</v>
      </c>
    </row>
    <row r="9" spans="1:23" ht="10.5" customHeight="1">
      <c r="E9" s="1097"/>
      <c r="F9" s="3021" t="s">
        <v>345</v>
      </c>
      <c r="G9" s="3022"/>
      <c r="H9" s="3022"/>
      <c r="I9" s="3022"/>
      <c r="J9" s="3022"/>
      <c r="K9" s="1167"/>
      <c r="L9" s="1084"/>
      <c r="M9" s="1084"/>
      <c r="N9" s="1084"/>
      <c r="O9" s="1084"/>
      <c r="P9" s="1084"/>
      <c r="Q9" s="1084"/>
      <c r="R9" s="1084"/>
      <c r="S9" s="1084"/>
      <c r="T9" s="1084"/>
      <c r="U9" s="1084"/>
      <c r="V9" s="1084"/>
      <c r="W9" s="1082">
        <v>10</v>
      </c>
    </row>
    <row r="10" spans="1:23" ht="25.5" customHeight="1">
      <c r="E10" s="1084"/>
      <c r="F10" s="3025" t="s">
        <v>93</v>
      </c>
      <c r="G10" s="3029" t="s">
        <v>1061</v>
      </c>
      <c r="H10" s="3011" t="s">
        <v>1062</v>
      </c>
      <c r="I10" s="3011"/>
      <c r="J10" s="3011"/>
      <c r="K10" s="1160"/>
      <c r="L10" s="1084"/>
      <c r="M10" s="1084"/>
      <c r="N10" s="1084"/>
      <c r="O10" s="1084"/>
      <c r="P10" s="1084"/>
      <c r="Q10" s="1084"/>
      <c r="R10" s="1084"/>
      <c r="S10" s="1084"/>
      <c r="T10" s="1084"/>
      <c r="U10" s="1084"/>
      <c r="V10" s="1084"/>
      <c r="W10" s="1082">
        <v>24</v>
      </c>
    </row>
    <row r="11" spans="1:23" ht="25.5" customHeight="1">
      <c r="E11" s="1084"/>
      <c r="F11" s="3026"/>
      <c r="G11" s="3029"/>
      <c r="H11" s="3028" t="e">
        <f>INDEX(IP_MAIN_LIST_NAME_IP,MATCH(H8,IP_MAIN_LIST_IP_ID,0))&amp;" ("&amp;INDEX(IP_MAIN_START_DATE,MATCH(H8,IP_MAIN_LIST_IP_ID,0))&amp;"-"&amp;INDEX(IP_MAIN_END_DATE,MATCH(H8,IP_MAIN_LIST_IP_ID,0))&amp;")"</f>
        <v>#N/A</v>
      </c>
      <c r="I11" s="3028"/>
      <c r="J11" s="3028"/>
      <c r="K11" s="1160"/>
      <c r="L11" s="1084"/>
      <c r="M11" s="1084"/>
      <c r="N11" s="1084"/>
      <c r="O11" s="1084"/>
      <c r="P11" s="1084"/>
      <c r="Q11" s="1084"/>
      <c r="R11" s="1084"/>
      <c r="S11" s="1084"/>
      <c r="T11" s="1084"/>
      <c r="U11" s="1084"/>
      <c r="V11" s="1084"/>
      <c r="W11" s="1082">
        <v>24</v>
      </c>
    </row>
    <row r="12" spans="1:23" ht="10.5" customHeight="1">
      <c r="F12" s="3027"/>
      <c r="G12" s="3029"/>
      <c r="H12" s="1153" t="s">
        <v>1063</v>
      </c>
      <c r="I12" s="1159"/>
      <c r="J12" s="1153"/>
      <c r="K12" s="1161"/>
      <c r="W12" s="1082">
        <v>10</v>
      </c>
    </row>
    <row r="13" spans="1:23" ht="10.5" hidden="1" customHeight="1">
      <c r="F13" s="1153">
        <v>1</v>
      </c>
      <c r="G13" s="1153">
        <v>2</v>
      </c>
      <c r="H13" s="1153">
        <v>3</v>
      </c>
      <c r="I13" s="1153">
        <v>4</v>
      </c>
      <c r="J13" s="1153">
        <v>5</v>
      </c>
      <c r="K13" s="1161"/>
      <c r="W13" s="1082">
        <v>0</v>
      </c>
    </row>
    <row r="14" spans="1:23" ht="11.25" customHeight="1">
      <c r="F14" s="1152" t="s">
        <v>1064</v>
      </c>
      <c r="G14" s="3023" t="s">
        <v>1065</v>
      </c>
      <c r="H14" s="3023"/>
      <c r="I14" s="3023"/>
      <c r="J14" s="3023"/>
      <c r="K14" s="1161"/>
      <c r="W14" s="1082">
        <v>11</v>
      </c>
    </row>
    <row r="15" spans="1:23" ht="11.25" customHeight="1">
      <c r="F15" s="1157">
        <v>1</v>
      </c>
      <c r="G15" s="627" t="s">
        <v>1066</v>
      </c>
      <c r="H15" s="1163">
        <f t="shared" ref="H15:H36" si="0">SUM(I15:J15)</f>
        <v>0</v>
      </c>
      <c r="I15" s="1163">
        <f>SUM(I16:I27)</f>
        <v>0</v>
      </c>
      <c r="J15" s="1152"/>
      <c r="K15" s="1161"/>
      <c r="W15" s="1082">
        <v>11</v>
      </c>
    </row>
    <row r="16" spans="1:23" ht="24" customHeight="1">
      <c r="F16" s="1157" t="s">
        <v>1067</v>
      </c>
      <c r="G16" s="1164" t="s">
        <v>1068</v>
      </c>
      <c r="H16" s="1163">
        <f t="shared" si="0"/>
        <v>0</v>
      </c>
      <c r="I16" s="1162"/>
      <c r="J16" s="1152"/>
      <c r="K16" s="1161"/>
      <c r="W16" s="1082">
        <v>23</v>
      </c>
    </row>
    <row r="17" spans="6:23" ht="24" customHeight="1">
      <c r="F17" s="1157" t="s">
        <v>1069</v>
      </c>
      <c r="G17" s="1164" t="s">
        <v>1070</v>
      </c>
      <c r="H17" s="1163">
        <f t="shared" si="0"/>
        <v>0</v>
      </c>
      <c r="I17" s="1162"/>
      <c r="J17" s="1152"/>
      <c r="K17" s="1161"/>
      <c r="W17" s="1082">
        <v>23</v>
      </c>
    </row>
    <row r="18" spans="6:23" ht="36" customHeight="1">
      <c r="F18" s="1157" t="s">
        <v>1071</v>
      </c>
      <c r="G18" s="1164" t="s">
        <v>1072</v>
      </c>
      <c r="H18" s="1163">
        <f t="shared" si="0"/>
        <v>0</v>
      </c>
      <c r="I18" s="1162"/>
      <c r="J18" s="1152"/>
      <c r="K18" s="1161"/>
      <c r="W18" s="1082">
        <v>34</v>
      </c>
    </row>
    <row r="19" spans="6:23" ht="36" customHeight="1">
      <c r="F19" s="1157" t="s">
        <v>1073</v>
      </c>
      <c r="G19" s="1164" t="s">
        <v>1074</v>
      </c>
      <c r="H19" s="1163">
        <f t="shared" si="0"/>
        <v>0</v>
      </c>
      <c r="I19" s="1162"/>
      <c r="J19" s="1152"/>
      <c r="K19" s="1161"/>
      <c r="W19" s="1082">
        <v>34</v>
      </c>
    </row>
    <row r="20" spans="6:23" ht="48" customHeight="1">
      <c r="F20" s="1157" t="s">
        <v>1075</v>
      </c>
      <c r="G20" s="1164" t="s">
        <v>1076</v>
      </c>
      <c r="H20" s="1163">
        <f t="shared" si="0"/>
        <v>0</v>
      </c>
      <c r="I20" s="1162"/>
      <c r="J20" s="1152"/>
      <c r="K20" s="1161"/>
      <c r="W20" s="1082">
        <v>46</v>
      </c>
    </row>
    <row r="21" spans="6:23" ht="36" customHeight="1">
      <c r="F21" s="1157" t="s">
        <v>1077</v>
      </c>
      <c r="G21" s="1164" t="s">
        <v>1078</v>
      </c>
      <c r="H21" s="1163">
        <f t="shared" si="0"/>
        <v>0</v>
      </c>
      <c r="I21" s="1162"/>
      <c r="J21" s="1152"/>
      <c r="K21" s="1161"/>
      <c r="W21" s="1082">
        <v>34</v>
      </c>
    </row>
    <row r="22" spans="6:23" ht="36" customHeight="1">
      <c r="F22" s="1157" t="s">
        <v>1079</v>
      </c>
      <c r="G22" s="1164" t="s">
        <v>1080</v>
      </c>
      <c r="H22" s="1163">
        <f t="shared" si="0"/>
        <v>0</v>
      </c>
      <c r="I22" s="1162"/>
      <c r="J22" s="1152"/>
      <c r="K22" s="1161"/>
      <c r="W22" s="1082">
        <v>34</v>
      </c>
    </row>
    <row r="23" spans="6:23" ht="24" customHeight="1">
      <c r="F23" s="1157" t="s">
        <v>1081</v>
      </c>
      <c r="G23" s="1164" t="s">
        <v>1082</v>
      </c>
      <c r="H23" s="1163">
        <f t="shared" si="0"/>
        <v>0</v>
      </c>
      <c r="I23" s="1162"/>
      <c r="J23" s="1152"/>
      <c r="K23" s="1161"/>
      <c r="W23" s="1082">
        <v>23</v>
      </c>
    </row>
    <row r="24" spans="6:23" ht="24" customHeight="1">
      <c r="F24" s="1157" t="s">
        <v>1083</v>
      </c>
      <c r="G24" s="1164" t="s">
        <v>1084</v>
      </c>
      <c r="H24" s="1163">
        <f t="shared" si="0"/>
        <v>0</v>
      </c>
      <c r="I24" s="1162"/>
      <c r="J24" s="1152"/>
      <c r="K24" s="1161"/>
      <c r="W24" s="1082">
        <v>23</v>
      </c>
    </row>
    <row r="25" spans="6:23" ht="36" customHeight="1">
      <c r="F25" s="1157" t="s">
        <v>1085</v>
      </c>
      <c r="G25" s="1164" t="s">
        <v>1086</v>
      </c>
      <c r="H25" s="1163">
        <f t="shared" si="0"/>
        <v>0</v>
      </c>
      <c r="I25" s="1162"/>
      <c r="J25" s="1152"/>
      <c r="K25" s="1161"/>
      <c r="W25" s="1082">
        <v>34</v>
      </c>
    </row>
    <row r="26" spans="6:23" ht="36" customHeight="1">
      <c r="F26" s="1157" t="s">
        <v>1087</v>
      </c>
      <c r="G26" s="1164" t="s">
        <v>1088</v>
      </c>
      <c r="H26" s="1163">
        <f t="shared" si="0"/>
        <v>0</v>
      </c>
      <c r="I26" s="1162"/>
      <c r="J26" s="1152"/>
      <c r="K26" s="1161"/>
      <c r="W26" s="1082">
        <v>34</v>
      </c>
    </row>
    <row r="27" spans="6:23" ht="11.25" customHeight="1">
      <c r="F27" s="1157" t="s">
        <v>1089</v>
      </c>
      <c r="G27" s="1164" t="s">
        <v>1090</v>
      </c>
      <c r="H27" s="1163">
        <f t="shared" si="0"/>
        <v>0</v>
      </c>
      <c r="I27" s="1162"/>
      <c r="J27" s="1152"/>
      <c r="K27" s="1161"/>
      <c r="W27" s="1082">
        <v>11</v>
      </c>
    </row>
    <row r="28" spans="6:23" ht="11.25" customHeight="1">
      <c r="F28" s="1157">
        <v>2</v>
      </c>
      <c r="G28" s="627" t="s">
        <v>1091</v>
      </c>
      <c r="H28" s="1163">
        <f t="shared" si="0"/>
        <v>0</v>
      </c>
      <c r="I28" s="1163">
        <f>SUM(I29:I31)</f>
        <v>0</v>
      </c>
      <c r="J28" s="1152"/>
      <c r="K28" s="1161"/>
      <c r="W28" s="1082">
        <v>11</v>
      </c>
    </row>
    <row r="29" spans="6:23" ht="11.25" customHeight="1">
      <c r="F29" s="1157" t="s">
        <v>754</v>
      </c>
      <c r="G29" s="1164" t="s">
        <v>1092</v>
      </c>
      <c r="H29" s="1163">
        <f t="shared" si="0"/>
        <v>0</v>
      </c>
      <c r="I29" s="1162"/>
      <c r="J29" s="1152"/>
      <c r="K29" s="1161"/>
      <c r="W29" s="1082">
        <v>11</v>
      </c>
    </row>
    <row r="30" spans="6:23" ht="11.25" customHeight="1">
      <c r="F30" s="1157" t="s">
        <v>352</v>
      </c>
      <c r="G30" s="1164" t="s">
        <v>1093</v>
      </c>
      <c r="H30" s="1163">
        <f t="shared" si="0"/>
        <v>0</v>
      </c>
      <c r="I30" s="1162"/>
      <c r="J30" s="1152"/>
      <c r="K30" s="1161"/>
      <c r="W30" s="1082">
        <v>11</v>
      </c>
    </row>
    <row r="31" spans="6:23" ht="11.25" customHeight="1">
      <c r="F31" s="1157" t="s">
        <v>355</v>
      </c>
      <c r="G31" s="1164" t="s">
        <v>1094</v>
      </c>
      <c r="H31" s="1163">
        <f t="shared" si="0"/>
        <v>0</v>
      </c>
      <c r="I31" s="1162"/>
      <c r="J31" s="1152"/>
      <c r="K31" s="1161"/>
      <c r="W31" s="1082">
        <v>11</v>
      </c>
    </row>
    <row r="32" spans="6:23" ht="11.25" customHeight="1">
      <c r="F32" s="1157">
        <v>3</v>
      </c>
      <c r="G32" s="627" t="s">
        <v>1095</v>
      </c>
      <c r="H32" s="1163">
        <f t="shared" si="0"/>
        <v>0</v>
      </c>
      <c r="I32" s="1163">
        <f>SUM(I33:I34)</f>
        <v>0</v>
      </c>
      <c r="J32" s="1152"/>
      <c r="K32" s="1161"/>
      <c r="W32" s="1082">
        <v>11</v>
      </c>
    </row>
    <row r="33" spans="6:23" ht="48" customHeight="1">
      <c r="F33" s="1157" t="s">
        <v>369</v>
      </c>
      <c r="G33" s="1164" t="s">
        <v>1096</v>
      </c>
      <c r="H33" s="1163">
        <f t="shared" si="0"/>
        <v>0</v>
      </c>
      <c r="I33" s="1162"/>
      <c r="J33" s="1152"/>
      <c r="K33" s="1161"/>
      <c r="W33" s="1082">
        <v>46</v>
      </c>
    </row>
    <row r="34" spans="6:23" ht="11.25" customHeight="1">
      <c r="F34" s="1157" t="s">
        <v>377</v>
      </c>
      <c r="G34" s="1164" t="s">
        <v>1097</v>
      </c>
      <c r="H34" s="1163">
        <f t="shared" si="0"/>
        <v>0</v>
      </c>
      <c r="I34" s="1162"/>
      <c r="J34" s="1152"/>
      <c r="K34" s="1161"/>
      <c r="W34" s="1082">
        <v>11</v>
      </c>
    </row>
    <row r="35" spans="6:23" ht="11.25" customHeight="1">
      <c r="F35" s="1157">
        <v>4</v>
      </c>
      <c r="G35" s="627" t="s">
        <v>1098</v>
      </c>
      <c r="H35" s="1163">
        <f t="shared" si="0"/>
        <v>0</v>
      </c>
      <c r="I35" s="1162"/>
      <c r="J35" s="1152"/>
      <c r="K35" s="1161"/>
      <c r="W35" s="1082">
        <v>11</v>
      </c>
    </row>
    <row r="36" spans="6:23" ht="11.25" customHeight="1">
      <c r="F36" s="1157"/>
      <c r="G36" s="630" t="s">
        <v>1099</v>
      </c>
      <c r="H36" s="1163">
        <f t="shared" si="0"/>
        <v>0</v>
      </c>
      <c r="I36" s="1163">
        <f>SUM(I15,I28,I32,I35)</f>
        <v>0</v>
      </c>
      <c r="J36" s="1152"/>
      <c r="K36" s="1161"/>
      <c r="W36" s="1082">
        <v>11</v>
      </c>
    </row>
    <row r="37" spans="6:23" ht="29.25" customHeight="1">
      <c r="F37" s="1158" t="s">
        <v>1100</v>
      </c>
      <c r="G37" s="3024" t="s">
        <v>1101</v>
      </c>
      <c r="H37" s="3024"/>
      <c r="I37" s="3024"/>
      <c r="J37" s="3024"/>
      <c r="K37" s="1161"/>
      <c r="W37" s="1082">
        <v>28</v>
      </c>
    </row>
    <row r="38" spans="6:23" ht="24" customHeight="1">
      <c r="F38" s="1157" t="s">
        <v>114</v>
      </c>
      <c r="G38" s="627" t="s">
        <v>1102</v>
      </c>
      <c r="H38" s="1163">
        <f t="shared" ref="H38:H58" si="1">SUM(I38:J38)</f>
        <v>0</v>
      </c>
      <c r="I38" s="1163">
        <f>SUM(I39,I44,I47)</f>
        <v>0</v>
      </c>
      <c r="J38" s="1152"/>
      <c r="K38" s="1161"/>
      <c r="W38" s="1082">
        <v>23</v>
      </c>
    </row>
    <row r="39" spans="6:23" ht="11.25" customHeight="1">
      <c r="F39" s="1157" t="s">
        <v>1067</v>
      </c>
      <c r="G39" s="1164" t="s">
        <v>1066</v>
      </c>
      <c r="H39" s="1163">
        <f t="shared" si="1"/>
        <v>0</v>
      </c>
      <c r="I39" s="1163">
        <f>SUM(I40:I43)</f>
        <v>0</v>
      </c>
      <c r="J39" s="1152"/>
      <c r="K39" s="1161"/>
      <c r="W39" s="1082">
        <v>11</v>
      </c>
    </row>
    <row r="40" spans="6:23" ht="24" customHeight="1">
      <c r="F40" s="1157" t="s">
        <v>1103</v>
      </c>
      <c r="G40" s="1165" t="s">
        <v>1104</v>
      </c>
      <c r="H40" s="1163">
        <f t="shared" si="1"/>
        <v>0</v>
      </c>
      <c r="I40" s="1162"/>
      <c r="J40" s="1152"/>
      <c r="K40" s="1161"/>
      <c r="W40" s="1082">
        <v>23</v>
      </c>
    </row>
    <row r="41" spans="6:23" ht="11.25" customHeight="1">
      <c r="F41" s="1157" t="s">
        <v>1105</v>
      </c>
      <c r="G41" s="1165" t="s">
        <v>1106</v>
      </c>
      <c r="H41" s="1163">
        <f t="shared" si="1"/>
        <v>0</v>
      </c>
      <c r="I41" s="1162"/>
      <c r="J41" s="1152"/>
      <c r="K41" s="1161"/>
      <c r="W41" s="1082">
        <v>11</v>
      </c>
    </row>
    <row r="42" spans="6:23" ht="11.25" customHeight="1">
      <c r="F42" s="1157" t="s">
        <v>1107</v>
      </c>
      <c r="G42" s="1165" t="s">
        <v>1108</v>
      </c>
      <c r="H42" s="1163">
        <f t="shared" si="1"/>
        <v>0</v>
      </c>
      <c r="I42" s="1162"/>
      <c r="J42" s="1152"/>
      <c r="K42" s="1161"/>
      <c r="W42" s="1082">
        <v>11</v>
      </c>
    </row>
    <row r="43" spans="6:23" ht="36" customHeight="1">
      <c r="F43" s="1157" t="s">
        <v>1109</v>
      </c>
      <c r="G43" s="1165" t="s">
        <v>1110</v>
      </c>
      <c r="H43" s="1163">
        <f t="shared" si="1"/>
        <v>0</v>
      </c>
      <c r="I43" s="1162"/>
      <c r="J43" s="1152"/>
      <c r="K43" s="1161"/>
      <c r="W43" s="1082">
        <v>34</v>
      </c>
    </row>
    <row r="44" spans="6:23" ht="11.25" customHeight="1">
      <c r="F44" s="1157" t="s">
        <v>1069</v>
      </c>
      <c r="G44" s="1164" t="s">
        <v>1095</v>
      </c>
      <c r="H44" s="1163">
        <f t="shared" si="1"/>
        <v>0</v>
      </c>
      <c r="I44" s="1163">
        <f>SUM(I45:I46)</f>
        <v>0</v>
      </c>
      <c r="J44" s="1152"/>
      <c r="K44" s="1161"/>
      <c r="W44" s="1082">
        <v>11</v>
      </c>
    </row>
    <row r="45" spans="6:23" ht="48" customHeight="1">
      <c r="F45" s="1157" t="s">
        <v>1111</v>
      </c>
      <c r="G45" s="1165" t="s">
        <v>1096</v>
      </c>
      <c r="H45" s="1163">
        <f t="shared" si="1"/>
        <v>0</v>
      </c>
      <c r="I45" s="1162"/>
      <c r="J45" s="1152"/>
      <c r="K45" s="1161"/>
      <c r="W45" s="1082">
        <v>46</v>
      </c>
    </row>
    <row r="46" spans="6:23" ht="11.25" customHeight="1">
      <c r="F46" s="1157" t="s">
        <v>1112</v>
      </c>
      <c r="G46" s="1165" t="s">
        <v>1097</v>
      </c>
      <c r="H46" s="1163">
        <f t="shared" si="1"/>
        <v>0</v>
      </c>
      <c r="I46" s="1162"/>
      <c r="J46" s="1152"/>
      <c r="K46" s="1161"/>
      <c r="W46" s="1082">
        <v>11</v>
      </c>
    </row>
    <row r="47" spans="6:23" ht="11.25" customHeight="1">
      <c r="F47" s="1157" t="s">
        <v>1071</v>
      </c>
      <c r="G47" s="1164" t="s">
        <v>1113</v>
      </c>
      <c r="H47" s="1163">
        <f t="shared" si="1"/>
        <v>0</v>
      </c>
      <c r="I47" s="1162"/>
      <c r="J47" s="1152"/>
      <c r="K47" s="1161"/>
      <c r="W47" s="1082">
        <v>11</v>
      </c>
    </row>
    <row r="48" spans="6:23" ht="24" customHeight="1">
      <c r="F48" s="1157" t="s">
        <v>115</v>
      </c>
      <c r="G48" s="627" t="s">
        <v>1114</v>
      </c>
      <c r="H48" s="1163">
        <f t="shared" si="1"/>
        <v>0</v>
      </c>
      <c r="I48" s="1163">
        <f>SUM(I49,I54,I57)</f>
        <v>0</v>
      </c>
      <c r="J48" s="1152"/>
      <c r="K48" s="1161"/>
      <c r="W48" s="1082">
        <v>23</v>
      </c>
    </row>
    <row r="49" spans="1:23" ht="11.25" customHeight="1">
      <c r="F49" s="1157" t="s">
        <v>754</v>
      </c>
      <c r="G49" s="1164" t="s">
        <v>1066</v>
      </c>
      <c r="H49" s="1163">
        <f t="shared" si="1"/>
        <v>0</v>
      </c>
      <c r="I49" s="1163">
        <f>SUM(I50:I53)</f>
        <v>0</v>
      </c>
      <c r="J49" s="1152"/>
      <c r="K49" s="1161"/>
      <c r="W49" s="1082">
        <v>11</v>
      </c>
    </row>
    <row r="50" spans="1:23" ht="24" customHeight="1">
      <c r="F50" s="1157" t="s">
        <v>757</v>
      </c>
      <c r="G50" s="1165" t="s">
        <v>1104</v>
      </c>
      <c r="H50" s="1163">
        <f t="shared" si="1"/>
        <v>0</v>
      </c>
      <c r="I50" s="1162"/>
      <c r="J50" s="1152"/>
      <c r="K50" s="1161"/>
      <c r="W50" s="1082">
        <v>23</v>
      </c>
    </row>
    <row r="51" spans="1:23" ht="11.25" customHeight="1">
      <c r="F51" s="1157" t="s">
        <v>760</v>
      </c>
      <c r="G51" s="1165" t="s">
        <v>1106</v>
      </c>
      <c r="H51" s="1163">
        <f t="shared" si="1"/>
        <v>0</v>
      </c>
      <c r="I51" s="1162"/>
      <c r="J51" s="1152"/>
      <c r="K51" s="1161"/>
      <c r="W51" s="1082">
        <v>11</v>
      </c>
    </row>
    <row r="52" spans="1:23" ht="11.25" customHeight="1">
      <c r="F52" s="1157" t="s">
        <v>1115</v>
      </c>
      <c r="G52" s="1165" t="s">
        <v>1108</v>
      </c>
      <c r="H52" s="1163">
        <f t="shared" si="1"/>
        <v>0</v>
      </c>
      <c r="I52" s="1162"/>
      <c r="J52" s="1152"/>
      <c r="K52" s="1161"/>
      <c r="W52" s="1082">
        <v>11</v>
      </c>
    </row>
    <row r="53" spans="1:23" ht="36" customHeight="1">
      <c r="F53" s="1157" t="s">
        <v>1116</v>
      </c>
      <c r="G53" s="1165" t="s">
        <v>1110</v>
      </c>
      <c r="H53" s="1163">
        <f t="shared" si="1"/>
        <v>0</v>
      </c>
      <c r="I53" s="1162"/>
      <c r="J53" s="1152"/>
      <c r="K53" s="1161"/>
      <c r="W53" s="1082">
        <v>34</v>
      </c>
    </row>
    <row r="54" spans="1:23" ht="11.25" customHeight="1">
      <c r="F54" s="1157" t="s">
        <v>352</v>
      </c>
      <c r="G54" s="1164" t="s">
        <v>1095</v>
      </c>
      <c r="H54" s="1163">
        <f t="shared" si="1"/>
        <v>0</v>
      </c>
      <c r="I54" s="1163">
        <f>SUM(I55:I56)</f>
        <v>0</v>
      </c>
      <c r="J54" s="1152"/>
      <c r="K54" s="1161"/>
      <c r="W54" s="1082">
        <v>11</v>
      </c>
    </row>
    <row r="55" spans="1:23" ht="48" customHeight="1">
      <c r="F55" s="1157" t="s">
        <v>764</v>
      </c>
      <c r="G55" s="1165" t="s">
        <v>1096</v>
      </c>
      <c r="H55" s="1163">
        <f t="shared" si="1"/>
        <v>0</v>
      </c>
      <c r="I55" s="1162"/>
      <c r="J55" s="1152"/>
      <c r="K55" s="1161"/>
      <c r="W55" s="1082">
        <v>46</v>
      </c>
    </row>
    <row r="56" spans="1:23" ht="11.25" customHeight="1">
      <c r="F56" s="1157" t="s">
        <v>766</v>
      </c>
      <c r="G56" s="1165" t="s">
        <v>1097</v>
      </c>
      <c r="H56" s="1163">
        <f t="shared" si="1"/>
        <v>0</v>
      </c>
      <c r="I56" s="1162"/>
      <c r="J56" s="1152"/>
      <c r="K56" s="1161"/>
      <c r="W56" s="1082">
        <v>11</v>
      </c>
    </row>
    <row r="57" spans="1:23" ht="11.25" customHeight="1">
      <c r="F57" s="1157" t="s">
        <v>355</v>
      </c>
      <c r="G57" s="1164" t="s">
        <v>1113</v>
      </c>
      <c r="H57" s="1163">
        <f t="shared" si="1"/>
        <v>0</v>
      </c>
      <c r="I57" s="1162"/>
      <c r="J57" s="1152"/>
      <c r="K57" s="1161"/>
      <c r="W57" s="1082">
        <v>11</v>
      </c>
    </row>
    <row r="58" spans="1:23" ht="11.25" customHeight="1">
      <c r="F58" s="1157"/>
      <c r="G58" s="1166" t="s">
        <v>1099</v>
      </c>
      <c r="H58" s="1163">
        <f t="shared" si="1"/>
        <v>0</v>
      </c>
      <c r="I58" s="1163">
        <f>SUM(I38,I48)</f>
        <v>0</v>
      </c>
      <c r="J58" s="1152"/>
      <c r="K58" s="1161"/>
      <c r="W58" s="1082">
        <v>11</v>
      </c>
    </row>
    <row r="59" spans="1:23" ht="10.5" hidden="1" customHeight="1">
      <c r="A59" s="1093" t="s">
        <v>87</v>
      </c>
      <c r="B59" s="1093">
        <v>0</v>
      </c>
      <c r="C59" s="1093">
        <v>0</v>
      </c>
      <c r="D59" s="1087">
        <v>0</v>
      </c>
      <c r="E59" s="446">
        <v>3</v>
      </c>
      <c r="F59" s="1082">
        <v>6</v>
      </c>
      <c r="G59" s="1082">
        <v>60</v>
      </c>
      <c r="H59" s="1082">
        <v>0</v>
      </c>
      <c r="I59" s="1082">
        <v>0</v>
      </c>
      <c r="J59" s="1082">
        <v>0</v>
      </c>
      <c r="K59" s="1082">
        <v>1</v>
      </c>
      <c r="L59" s="1082">
        <v>8</v>
      </c>
      <c r="M59" s="1082">
        <v>8</v>
      </c>
      <c r="N59" s="1082">
        <v>8</v>
      </c>
      <c r="O59" s="1082">
        <v>8</v>
      </c>
      <c r="P59" s="1082">
        <v>8</v>
      </c>
      <c r="Q59" s="1082">
        <v>8</v>
      </c>
      <c r="R59" s="1082">
        <v>8</v>
      </c>
      <c r="S59" s="1082">
        <v>8</v>
      </c>
      <c r="T59" s="1082">
        <v>8</v>
      </c>
      <c r="U59" s="1082">
        <v>8</v>
      </c>
      <c r="V59" s="1082">
        <v>8</v>
      </c>
      <c r="W59" s="1082">
        <v>10</v>
      </c>
    </row>
  </sheetData>
  <sheetProtection formatColumns="0" formatRows="0" insertRows="0" deleteColumns="0" deleteRows="0" sort="0" autoFilter="0"/>
  <mergeCells count="9">
    <mergeCell ref="F5:J5"/>
    <mergeCell ref="F6:J6"/>
    <mergeCell ref="F9:J9"/>
    <mergeCell ref="G14:J14"/>
    <mergeCell ref="G37:J37"/>
    <mergeCell ref="F10:F12"/>
    <mergeCell ref="H10:J10"/>
    <mergeCell ref="H11:J11"/>
    <mergeCell ref="G10:G12"/>
  </mergeCells>
  <dataValidations count="1">
    <dataValidation type="decimal" allowBlank="1" showErrorMessage="1" errorTitle="Ошибка" error="Допускается ввод только неотрицательных чисел!" sqref="I29:I31 I33:I35 I40:I43 I45:I47 I50:I53 I55:I57 I16:I27">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9" tint="-0.249977111117893"/>
  </sheetPr>
  <dimension ref="A1:GC25"/>
  <sheetViews>
    <sheetView showGridLines="0" zoomScale="90" workbookViewId="0">
      <pane xSplit="14" ySplit="17" topLeftCell="O18" activePane="bottomRight" state="frozen"/>
      <selection pane="topRight" activeCell="O1" sqref="O1"/>
      <selection pane="bottomLeft" activeCell="A18" sqref="A18"/>
      <selection pane="bottomRight"/>
    </sheetView>
  </sheetViews>
  <sheetFormatPr defaultColWidth="9.140625" defaultRowHeight="12" customHeight="1"/>
  <cols>
    <col min="1" max="1" width="4.7109375" style="993" hidden="1" customWidth="1"/>
    <col min="2" max="2" width="4.7109375" style="866" hidden="1" customWidth="1"/>
    <col min="3" max="4" width="4.7109375" style="993" hidden="1" customWidth="1"/>
    <col min="5" max="5" width="3" style="993" customWidth="1"/>
    <col min="6" max="6" width="6" style="993" customWidth="1"/>
    <col min="7" max="7" width="18" style="993" customWidth="1"/>
    <col min="8" max="8" width="27" style="993" customWidth="1"/>
    <col min="9" max="9" width="18" style="993" customWidth="1"/>
    <col min="10" max="14" width="0.85546875" style="993" hidden="1" customWidth="1"/>
    <col min="15" max="28" width="21.7109375" style="993" customWidth="1"/>
    <col min="29" max="71" width="0.85546875" style="993" customWidth="1"/>
    <col min="72" max="79" width="21.7109375" style="993" hidden="1" customWidth="1"/>
    <col min="80" max="81" width="29.140625" style="993" hidden="1" customWidth="1"/>
    <col min="82" max="89" width="21.7109375" style="993" hidden="1" customWidth="1"/>
    <col min="90" max="102" width="0.7109375" style="993" hidden="1" customWidth="1"/>
    <col min="103" max="114" width="21.7109375" style="993" hidden="1" customWidth="1"/>
    <col min="115" max="178" width="0.7109375" style="993" hidden="1" customWidth="1"/>
    <col min="179" max="179" width="0.140625" style="993" customWidth="1"/>
    <col min="180" max="184" width="8" style="993" customWidth="1"/>
    <col min="185" max="185" width="9.140625" style="993" hidden="1"/>
  </cols>
  <sheetData>
    <row r="1" spans="2:185" s="855" customFormat="1" ht="12" hidden="1" customHeight="1">
      <c r="B1" s="853"/>
      <c r="C1" s="854"/>
      <c r="D1" s="854"/>
      <c r="GC1" s="852" t="s">
        <v>14</v>
      </c>
    </row>
    <row r="2" spans="2:185" s="855" customFormat="1" ht="12" hidden="1" customHeight="1">
      <c r="B2" s="853"/>
      <c r="C2" s="854"/>
      <c r="D2" s="854"/>
      <c r="E2" s="854"/>
      <c r="F2" s="854"/>
      <c r="G2" s="854"/>
      <c r="H2" s="854"/>
      <c r="I2" s="854"/>
      <c r="J2" s="854"/>
      <c r="K2" s="854"/>
      <c r="L2" s="854"/>
      <c r="M2" s="854"/>
      <c r="N2" s="854"/>
      <c r="O2" s="854"/>
      <c r="P2" s="854"/>
      <c r="Q2" s="854"/>
      <c r="R2" s="854"/>
      <c r="S2" s="854"/>
      <c r="T2" s="854"/>
      <c r="U2" s="854"/>
      <c r="V2" s="854"/>
      <c r="W2" s="854"/>
      <c r="X2" s="854"/>
      <c r="Y2" s="854"/>
      <c r="Z2" s="854"/>
      <c r="AA2" s="854"/>
      <c r="AC2" s="854"/>
      <c r="AD2" s="854"/>
      <c r="AE2" s="854"/>
      <c r="AF2" s="854"/>
      <c r="AG2" s="854"/>
      <c r="AH2" s="854"/>
      <c r="AI2" s="854"/>
      <c r="AJ2" s="854"/>
      <c r="AK2" s="854"/>
      <c r="AL2" s="854"/>
      <c r="AM2" s="854"/>
      <c r="AN2" s="854"/>
      <c r="AO2" s="854"/>
      <c r="AP2" s="854"/>
      <c r="AQ2" s="854"/>
      <c r="AR2" s="854"/>
      <c r="AS2" s="854"/>
      <c r="AT2" s="854"/>
      <c r="AU2" s="854"/>
      <c r="AV2" s="854"/>
      <c r="AW2" s="854"/>
      <c r="AX2" s="854"/>
      <c r="AY2" s="854"/>
      <c r="AZ2" s="854"/>
      <c r="BA2" s="854"/>
      <c r="BB2" s="854"/>
      <c r="BC2" s="854"/>
      <c r="BD2" s="854"/>
      <c r="BE2" s="854"/>
      <c r="BF2" s="854"/>
      <c r="BG2" s="854"/>
      <c r="BH2" s="854"/>
      <c r="BI2" s="854"/>
      <c r="BJ2" s="854"/>
      <c r="BK2" s="854"/>
      <c r="BL2" s="854"/>
      <c r="BM2" s="854"/>
      <c r="BN2" s="854"/>
      <c r="BO2" s="854"/>
      <c r="BP2" s="854"/>
      <c r="BQ2" s="854"/>
      <c r="BR2" s="854"/>
      <c r="BS2" s="854"/>
      <c r="BT2" s="854"/>
      <c r="BU2" s="854"/>
      <c r="BV2" s="854"/>
      <c r="BW2" s="854"/>
      <c r="BX2" s="854"/>
      <c r="BY2" s="854"/>
      <c r="BZ2" s="854"/>
      <c r="CA2" s="854"/>
      <c r="CB2" s="854"/>
      <c r="CC2" s="854"/>
      <c r="CD2" s="854"/>
      <c r="CE2" s="854"/>
      <c r="CF2" s="854"/>
      <c r="CG2" s="854"/>
      <c r="CH2" s="854"/>
      <c r="CI2" s="854"/>
      <c r="CJ2" s="854"/>
      <c r="CK2" s="854"/>
      <c r="CL2" s="854"/>
      <c r="CM2" s="854"/>
      <c r="CN2" s="854"/>
      <c r="CO2" s="854"/>
      <c r="CP2" s="854"/>
      <c r="CQ2" s="854"/>
      <c r="CR2" s="854"/>
      <c r="CS2" s="854"/>
      <c r="CT2" s="854"/>
      <c r="CU2" s="854"/>
      <c r="CV2" s="854"/>
      <c r="CW2" s="854"/>
      <c r="CX2" s="854"/>
      <c r="CY2" s="854"/>
      <c r="CZ2" s="854"/>
      <c r="DA2" s="854"/>
      <c r="DB2" s="854"/>
      <c r="DC2" s="854"/>
      <c r="DD2" s="854"/>
      <c r="DE2" s="854"/>
      <c r="DF2" s="854"/>
      <c r="DG2" s="854"/>
      <c r="DH2" s="854"/>
      <c r="DI2" s="854"/>
      <c r="DJ2" s="854"/>
      <c r="DK2" s="854"/>
      <c r="DL2" s="854"/>
      <c r="DM2" s="854"/>
      <c r="DN2" s="854"/>
      <c r="DO2" s="854"/>
      <c r="DP2" s="854"/>
      <c r="DQ2" s="854"/>
      <c r="DR2" s="854"/>
      <c r="DS2" s="854"/>
      <c r="DT2" s="854"/>
      <c r="DU2" s="854"/>
      <c r="DV2" s="854"/>
      <c r="DW2" s="854"/>
      <c r="DX2" s="854"/>
      <c r="DY2" s="854"/>
      <c r="DZ2" s="854"/>
      <c r="EA2" s="854"/>
      <c r="EB2" s="854"/>
      <c r="EC2" s="854"/>
      <c r="ED2" s="854"/>
      <c r="EE2" s="854"/>
      <c r="EF2" s="854"/>
      <c r="EG2" s="854"/>
      <c r="EH2" s="854"/>
      <c r="EI2" s="854"/>
      <c r="EJ2" s="854"/>
      <c r="EK2" s="854"/>
      <c r="EL2" s="854"/>
      <c r="EM2" s="854"/>
      <c r="EN2" s="854"/>
      <c r="EO2" s="854"/>
      <c r="EP2" s="854"/>
      <c r="EQ2" s="854"/>
      <c r="ER2" s="854"/>
      <c r="ES2" s="854"/>
      <c r="ET2" s="854"/>
      <c r="EU2" s="854"/>
      <c r="EV2" s="854"/>
      <c r="EW2" s="854"/>
      <c r="EX2" s="854"/>
      <c r="EY2" s="854"/>
      <c r="EZ2" s="854"/>
      <c r="FA2" s="854"/>
      <c r="FB2" s="854"/>
      <c r="FC2" s="854"/>
      <c r="FD2" s="854"/>
      <c r="FE2" s="854"/>
      <c r="FF2" s="854"/>
      <c r="FG2" s="854"/>
      <c r="FH2" s="854"/>
      <c r="FI2" s="854"/>
      <c r="FJ2" s="854"/>
      <c r="FK2" s="854"/>
      <c r="FL2" s="854"/>
      <c r="FM2" s="854"/>
      <c r="FN2" s="854"/>
      <c r="FO2" s="854"/>
      <c r="FP2" s="854"/>
      <c r="FQ2" s="854"/>
      <c r="FR2" s="854"/>
      <c r="FS2" s="854"/>
      <c r="FT2" s="854"/>
      <c r="FU2" s="854"/>
      <c r="FV2" s="854"/>
      <c r="FW2" s="854"/>
      <c r="GC2" s="852">
        <v>0</v>
      </c>
    </row>
    <row r="3" spans="2:185" s="855" customFormat="1" ht="12" hidden="1" customHeight="1">
      <c r="B3" s="853"/>
      <c r="C3" s="854"/>
      <c r="D3" s="854"/>
      <c r="E3" s="854"/>
      <c r="F3" s="854"/>
      <c r="G3" s="854"/>
      <c r="H3" s="854"/>
      <c r="I3" s="854"/>
      <c r="J3" s="854"/>
      <c r="K3" s="854"/>
      <c r="L3" s="854"/>
      <c r="M3" s="854"/>
      <c r="N3" s="854"/>
      <c r="O3" s="854"/>
      <c r="P3" s="854"/>
      <c r="Q3" s="854"/>
      <c r="R3" s="854"/>
      <c r="S3" s="854"/>
      <c r="T3" s="854"/>
      <c r="U3" s="854"/>
      <c r="V3" s="854"/>
      <c r="W3" s="854"/>
      <c r="X3" s="854"/>
      <c r="Y3" s="854"/>
      <c r="Z3" s="854"/>
      <c r="AA3" s="854"/>
      <c r="AC3" s="854"/>
      <c r="AD3" s="854"/>
      <c r="AE3" s="854"/>
      <c r="AF3" s="854"/>
      <c r="AG3" s="854"/>
      <c r="AH3" s="854"/>
      <c r="AI3" s="854"/>
      <c r="AJ3" s="854"/>
      <c r="AK3" s="854"/>
      <c r="AL3" s="854"/>
      <c r="AM3" s="854"/>
      <c r="AN3" s="854"/>
      <c r="AO3" s="854"/>
      <c r="AP3" s="854"/>
      <c r="AQ3" s="854"/>
      <c r="AR3" s="854"/>
      <c r="AS3" s="854"/>
      <c r="AT3" s="854"/>
      <c r="AU3" s="854"/>
      <c r="AV3" s="854"/>
      <c r="AW3" s="854"/>
      <c r="AX3" s="854"/>
      <c r="AY3" s="854"/>
      <c r="AZ3" s="854"/>
      <c r="BA3" s="854"/>
      <c r="BB3" s="854"/>
      <c r="BC3" s="854"/>
      <c r="BD3" s="854"/>
      <c r="BE3" s="854"/>
      <c r="BF3" s="854"/>
      <c r="BG3" s="854"/>
      <c r="BH3" s="854"/>
      <c r="BI3" s="854"/>
      <c r="BJ3" s="854"/>
      <c r="BK3" s="854"/>
      <c r="BL3" s="854"/>
      <c r="BM3" s="854"/>
      <c r="BN3" s="854"/>
      <c r="BO3" s="854"/>
      <c r="BP3" s="854"/>
      <c r="BQ3" s="854"/>
      <c r="BR3" s="854"/>
      <c r="BS3" s="854"/>
      <c r="BT3" s="854"/>
      <c r="BU3" s="854"/>
      <c r="BV3" s="854"/>
      <c r="BW3" s="854"/>
      <c r="BX3" s="854"/>
      <c r="BY3" s="854"/>
      <c r="BZ3" s="854"/>
      <c r="CA3" s="854"/>
      <c r="CB3" s="854"/>
      <c r="CC3" s="854"/>
      <c r="CD3" s="854"/>
      <c r="CE3" s="854"/>
      <c r="CF3" s="854"/>
      <c r="CG3" s="854"/>
      <c r="CH3" s="854"/>
      <c r="CI3" s="854"/>
      <c r="CJ3" s="854"/>
      <c r="CK3" s="854"/>
      <c r="CL3" s="854"/>
      <c r="CM3" s="854"/>
      <c r="CN3" s="854"/>
      <c r="CO3" s="854"/>
      <c r="CP3" s="854"/>
      <c r="CQ3" s="854"/>
      <c r="CR3" s="854"/>
      <c r="CS3" s="854"/>
      <c r="CT3" s="854"/>
      <c r="CU3" s="854"/>
      <c r="CV3" s="854"/>
      <c r="CW3" s="854"/>
      <c r="CX3" s="854"/>
      <c r="CY3" s="854"/>
      <c r="CZ3" s="854"/>
      <c r="DA3" s="854"/>
      <c r="DB3" s="854"/>
      <c r="DC3" s="854"/>
      <c r="DD3" s="854"/>
      <c r="DE3" s="854"/>
      <c r="DF3" s="854"/>
      <c r="DG3" s="854"/>
      <c r="DH3" s="854"/>
      <c r="DI3" s="854"/>
      <c r="DJ3" s="854"/>
      <c r="DK3" s="854"/>
      <c r="DL3" s="854"/>
      <c r="DM3" s="854"/>
      <c r="DN3" s="854"/>
      <c r="DO3" s="854"/>
      <c r="DP3" s="854"/>
      <c r="DQ3" s="854"/>
      <c r="DR3" s="854"/>
      <c r="DS3" s="854"/>
      <c r="DT3" s="854"/>
      <c r="DU3" s="854"/>
      <c r="DV3" s="854"/>
      <c r="DW3" s="854"/>
      <c r="DX3" s="854"/>
      <c r="DY3" s="854"/>
      <c r="DZ3" s="854"/>
      <c r="EA3" s="854"/>
      <c r="EB3" s="854"/>
      <c r="EC3" s="854"/>
      <c r="ED3" s="854"/>
      <c r="EE3" s="854"/>
      <c r="EF3" s="854"/>
      <c r="EG3" s="854"/>
      <c r="EH3" s="854"/>
      <c r="EI3" s="854"/>
      <c r="EJ3" s="854"/>
      <c r="EK3" s="854"/>
      <c r="EL3" s="854"/>
      <c r="EM3" s="854"/>
      <c r="EN3" s="854"/>
      <c r="EO3" s="854"/>
      <c r="EP3" s="854"/>
      <c r="EQ3" s="854"/>
      <c r="ER3" s="854"/>
      <c r="ES3" s="854"/>
      <c r="ET3" s="854"/>
      <c r="EU3" s="854"/>
      <c r="EV3" s="854"/>
      <c r="EW3" s="854"/>
      <c r="EX3" s="854"/>
      <c r="EY3" s="854"/>
      <c r="EZ3" s="854"/>
      <c r="FA3" s="854"/>
      <c r="FB3" s="854"/>
      <c r="FC3" s="854"/>
      <c r="FD3" s="854"/>
      <c r="FE3" s="854"/>
      <c r="FF3" s="854"/>
      <c r="FG3" s="854"/>
      <c r="FH3" s="854"/>
      <c r="FI3" s="854"/>
      <c r="FJ3" s="854"/>
      <c r="FK3" s="854"/>
      <c r="FL3" s="854"/>
      <c r="FM3" s="854"/>
      <c r="FN3" s="854"/>
      <c r="FO3" s="854"/>
      <c r="FP3" s="854"/>
      <c r="FQ3" s="854"/>
      <c r="FR3" s="854"/>
      <c r="FS3" s="854"/>
      <c r="FT3" s="854"/>
      <c r="FU3" s="854"/>
      <c r="FV3" s="854"/>
      <c r="FW3" s="854"/>
      <c r="GC3" s="852">
        <v>0</v>
      </c>
    </row>
    <row r="4" spans="2:185" ht="10.5" customHeight="1">
      <c r="B4" s="857"/>
      <c r="C4" s="858"/>
      <c r="D4" s="858"/>
      <c r="E4" s="858"/>
      <c r="F4" s="858"/>
      <c r="G4" s="858"/>
      <c r="H4" s="859"/>
      <c r="I4" s="859"/>
      <c r="J4" s="859"/>
      <c r="K4" s="859"/>
      <c r="L4" s="859"/>
      <c r="M4" s="860"/>
      <c r="N4" s="860"/>
      <c r="O4" s="860"/>
      <c r="P4" s="860"/>
      <c r="Q4" s="860"/>
      <c r="R4" s="860"/>
      <c r="S4" s="860"/>
      <c r="T4" s="860"/>
      <c r="U4" s="860"/>
      <c r="V4" s="860"/>
      <c r="W4" s="860"/>
      <c r="X4" s="860"/>
      <c r="Y4" s="860"/>
      <c r="Z4" s="860"/>
      <c r="AA4" s="860"/>
      <c r="AB4" s="860"/>
      <c r="AC4" s="860"/>
      <c r="AD4" s="860"/>
      <c r="AE4" s="860"/>
      <c r="AF4" s="860"/>
      <c r="AG4" s="860"/>
      <c r="AH4" s="860"/>
      <c r="AI4" s="860"/>
      <c r="AJ4" s="860"/>
      <c r="AK4" s="860"/>
      <c r="AL4" s="860"/>
      <c r="AM4" s="860"/>
      <c r="AN4" s="860"/>
      <c r="AO4" s="860"/>
      <c r="AP4" s="860"/>
      <c r="AQ4" s="860"/>
      <c r="AR4" s="860"/>
      <c r="AS4" s="860"/>
      <c r="AT4" s="860"/>
      <c r="AU4" s="860"/>
      <c r="AV4" s="860"/>
      <c r="AW4" s="860"/>
      <c r="AX4" s="860"/>
      <c r="AY4" s="860"/>
      <c r="AZ4" s="860"/>
      <c r="BA4" s="860"/>
      <c r="BB4" s="860"/>
      <c r="BC4" s="860"/>
      <c r="BD4" s="860"/>
      <c r="BE4" s="860"/>
      <c r="BF4" s="860"/>
      <c r="BG4" s="860"/>
      <c r="BH4" s="860"/>
      <c r="BI4" s="860"/>
      <c r="BJ4" s="860"/>
      <c r="BK4" s="860"/>
      <c r="BL4" s="860"/>
      <c r="BM4" s="860"/>
      <c r="BN4" s="860"/>
      <c r="BO4" s="860"/>
      <c r="BP4" s="860"/>
      <c r="BQ4" s="860"/>
      <c r="BR4" s="860"/>
      <c r="BS4" s="860"/>
      <c r="BT4" s="860"/>
      <c r="BU4" s="860"/>
      <c r="BV4" s="860"/>
      <c r="BW4" s="860"/>
      <c r="BX4" s="860"/>
      <c r="BY4" s="860"/>
      <c r="BZ4" s="860"/>
      <c r="CA4" s="860"/>
      <c r="CB4" s="860"/>
      <c r="CC4" s="860"/>
      <c r="CD4" s="860"/>
      <c r="CE4" s="860"/>
      <c r="CF4" s="860"/>
      <c r="CG4" s="860"/>
      <c r="CH4" s="860"/>
      <c r="CI4" s="860"/>
      <c r="CJ4" s="860"/>
      <c r="CK4" s="860"/>
      <c r="CL4" s="860"/>
      <c r="CM4" s="860"/>
      <c r="CN4" s="860"/>
      <c r="CO4" s="860"/>
      <c r="CP4" s="860"/>
      <c r="CQ4" s="860"/>
      <c r="CR4" s="860"/>
      <c r="CS4" s="860"/>
      <c r="CT4" s="860"/>
      <c r="CU4" s="860"/>
      <c r="CV4" s="860"/>
      <c r="CW4" s="860"/>
      <c r="CX4" s="860"/>
      <c r="CY4" s="860"/>
      <c r="CZ4" s="860"/>
      <c r="DA4" s="860"/>
      <c r="DB4" s="860"/>
      <c r="DC4" s="860"/>
      <c r="DD4" s="860"/>
      <c r="DE4" s="860"/>
      <c r="DF4" s="860"/>
      <c r="DG4" s="860"/>
      <c r="DH4" s="860"/>
      <c r="DI4" s="860"/>
      <c r="DJ4" s="860"/>
      <c r="DK4" s="860"/>
      <c r="DL4" s="860"/>
      <c r="DM4" s="860"/>
      <c r="DN4" s="860"/>
      <c r="DO4" s="860"/>
      <c r="DP4" s="860"/>
      <c r="DQ4" s="860"/>
      <c r="DR4" s="860"/>
      <c r="DS4" s="860"/>
      <c r="DT4" s="860"/>
      <c r="DU4" s="860"/>
      <c r="DV4" s="860"/>
      <c r="DW4" s="860"/>
      <c r="DX4" s="860"/>
      <c r="DY4" s="860"/>
      <c r="DZ4" s="860"/>
      <c r="EA4" s="860"/>
      <c r="EB4" s="860"/>
      <c r="EC4" s="860"/>
      <c r="ED4" s="860"/>
      <c r="EE4" s="860"/>
      <c r="EF4" s="860"/>
      <c r="EG4" s="860"/>
      <c r="EH4" s="860"/>
      <c r="EI4" s="860"/>
      <c r="EJ4" s="860"/>
      <c r="EK4" s="860"/>
      <c r="EL4" s="860"/>
      <c r="EM4" s="860"/>
      <c r="EN4" s="860"/>
      <c r="EO4" s="860"/>
      <c r="EP4" s="860"/>
      <c r="EQ4" s="860"/>
      <c r="ER4" s="860"/>
      <c r="ES4" s="860"/>
      <c r="ET4" s="860"/>
      <c r="EU4" s="860"/>
      <c r="EV4" s="860"/>
      <c r="EW4" s="860"/>
      <c r="EX4" s="860"/>
      <c r="EY4" s="860"/>
      <c r="EZ4" s="860"/>
      <c r="FA4" s="860"/>
      <c r="FB4" s="860"/>
      <c r="FC4" s="860"/>
      <c r="FD4" s="860"/>
      <c r="FE4" s="860"/>
      <c r="FF4" s="860"/>
      <c r="FG4" s="860"/>
      <c r="FH4" s="860"/>
      <c r="FI4" s="860"/>
      <c r="FJ4" s="860"/>
      <c r="FK4" s="860"/>
      <c r="FL4" s="860"/>
      <c r="FM4" s="860"/>
      <c r="FN4" s="860"/>
      <c r="FO4" s="860"/>
      <c r="FP4" s="860"/>
      <c r="FQ4" s="860"/>
      <c r="FR4" s="860"/>
      <c r="FS4" s="860"/>
      <c r="FT4" s="860"/>
      <c r="FU4" s="860"/>
      <c r="FV4" s="860"/>
      <c r="FW4" s="860"/>
      <c r="GC4" s="856">
        <v>10</v>
      </c>
    </row>
    <row r="5" spans="2:185" s="1798" customFormat="1" ht="27" customHeight="1">
      <c r="B5" s="1797"/>
      <c r="E5" s="1799"/>
      <c r="F5" s="3051" t="str">
        <f>IP_NAME_FORM&amp;"
Показатели качества, надежности и энергетической эффективности в сфере "&amp;TEMPLATE_SPHERE_RUS</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Показатели качества, надежности и энергетической эффективности в сфере теплоснабжения</v>
      </c>
      <c r="G5" s="2802"/>
      <c r="H5" s="2802"/>
      <c r="I5" s="2802"/>
      <c r="J5" s="2802"/>
      <c r="K5" s="2802"/>
      <c r="L5" s="2802"/>
      <c r="M5" s="2802"/>
      <c r="N5" s="2802"/>
      <c r="O5" s="2802"/>
      <c r="P5" s="2802"/>
      <c r="Q5" s="2802"/>
      <c r="R5" s="2802"/>
      <c r="S5" s="2802"/>
      <c r="T5" s="2802"/>
      <c r="U5" s="2802"/>
      <c r="V5" s="2802"/>
      <c r="W5" s="2802"/>
      <c r="X5" s="2802"/>
      <c r="Y5" s="2802"/>
      <c r="Z5" s="2802"/>
      <c r="AA5" s="2802"/>
      <c r="AB5" s="2802"/>
      <c r="AC5" s="2802"/>
      <c r="AD5" s="2802"/>
      <c r="AE5" s="2802"/>
      <c r="AF5" s="2802"/>
      <c r="AG5" s="2802"/>
      <c r="AH5" s="2802"/>
      <c r="AI5" s="2802"/>
      <c r="AJ5" s="2802"/>
      <c r="AK5" s="2802"/>
      <c r="AL5" s="2802"/>
      <c r="AM5" s="2802"/>
      <c r="AN5" s="2802"/>
      <c r="AO5" s="2802"/>
      <c r="AP5" s="2802"/>
      <c r="AQ5" s="2802"/>
      <c r="AR5" s="2802"/>
      <c r="AS5" s="2802"/>
      <c r="AT5" s="2802"/>
      <c r="AU5" s="2802"/>
      <c r="AV5" s="2802"/>
      <c r="AW5" s="2802"/>
      <c r="AX5" s="2802"/>
      <c r="AY5" s="2802"/>
      <c r="AZ5" s="2802"/>
      <c r="BA5" s="2802"/>
      <c r="BB5" s="2802"/>
      <c r="BC5" s="2802"/>
      <c r="BD5" s="2802"/>
      <c r="BE5" s="2802"/>
      <c r="BF5" s="2802"/>
      <c r="BG5" s="2802"/>
      <c r="BH5" s="2802"/>
      <c r="BI5" s="2802"/>
      <c r="BJ5" s="2802"/>
      <c r="BK5" s="2802"/>
      <c r="BL5" s="2802"/>
      <c r="BM5" s="2802"/>
      <c r="BN5" s="2802"/>
      <c r="BO5" s="2802"/>
      <c r="BP5" s="2802"/>
      <c r="BQ5" s="2802"/>
      <c r="BR5" s="2802"/>
      <c r="BS5" s="2802"/>
      <c r="GC5" s="1798">
        <v>26</v>
      </c>
    </row>
    <row r="6" spans="2:185" s="2001" customFormat="1" ht="18.75" customHeight="1">
      <c r="B6" s="873"/>
      <c r="E6" s="875"/>
      <c r="F6" s="2871" t="str">
        <f>IF(org=0,"Не определено",org)</f>
        <v>ТМУП "ТТС"</v>
      </c>
      <c r="G6" s="2872"/>
      <c r="H6" s="2872"/>
      <c r="I6" s="2872"/>
      <c r="J6" s="2872"/>
      <c r="K6" s="2872"/>
      <c r="L6" s="2872"/>
      <c r="M6" s="2872"/>
      <c r="N6" s="2872"/>
      <c r="O6" s="2872"/>
      <c r="P6" s="2872"/>
      <c r="Q6" s="2872"/>
      <c r="R6" s="2872"/>
      <c r="S6" s="2872"/>
      <c r="T6" s="2872"/>
      <c r="U6" s="2872"/>
      <c r="V6" s="2872"/>
      <c r="W6" s="2872"/>
      <c r="X6" s="2872"/>
      <c r="Y6" s="2872"/>
      <c r="Z6" s="2872"/>
      <c r="AA6" s="2872"/>
      <c r="AB6" s="2872"/>
      <c r="AC6" s="2872"/>
      <c r="AD6" s="2872"/>
      <c r="AE6" s="2872"/>
      <c r="AF6" s="2872"/>
      <c r="AG6" s="2872"/>
      <c r="AH6" s="2872"/>
      <c r="AI6" s="2872"/>
      <c r="AJ6" s="2872"/>
      <c r="AK6" s="2872"/>
      <c r="AL6" s="2872"/>
      <c r="AM6" s="2872"/>
      <c r="AN6" s="2872"/>
      <c r="AO6" s="2872"/>
      <c r="AP6" s="2872"/>
      <c r="AQ6" s="2872"/>
      <c r="AR6" s="2872"/>
      <c r="AS6" s="2872"/>
      <c r="AT6" s="2872"/>
      <c r="AU6" s="2872"/>
      <c r="AV6" s="2872"/>
      <c r="AW6" s="2872"/>
      <c r="AX6" s="2872"/>
      <c r="AY6" s="2872"/>
      <c r="AZ6" s="2872"/>
      <c r="BA6" s="2872"/>
      <c r="BB6" s="2872"/>
      <c r="BC6" s="2872"/>
      <c r="BD6" s="2872"/>
      <c r="BE6" s="2872"/>
      <c r="BF6" s="2872"/>
      <c r="BG6" s="2872"/>
      <c r="BH6" s="2872"/>
      <c r="BI6" s="2872"/>
      <c r="BJ6" s="2872"/>
      <c r="BK6" s="2872"/>
      <c r="BL6" s="2872"/>
      <c r="BM6" s="2872"/>
      <c r="BN6" s="2872"/>
      <c r="BO6" s="2872"/>
      <c r="BP6" s="2872"/>
      <c r="BQ6" s="2872"/>
      <c r="BR6" s="2872"/>
      <c r="BS6" s="2872"/>
      <c r="GC6" s="874">
        <v>18</v>
      </c>
    </row>
    <row r="7" spans="2:185" s="863" customFormat="1" ht="10.5" customHeight="1">
      <c r="B7" s="862"/>
      <c r="G7" s="865"/>
      <c r="H7" s="859"/>
      <c r="I7" s="859"/>
      <c r="J7" s="859"/>
      <c r="K7" s="859"/>
      <c r="L7" s="859"/>
      <c r="GC7" s="861">
        <v>10</v>
      </c>
    </row>
    <row r="8" spans="2:185" s="863" customFormat="1" ht="11.25" hidden="1" customHeight="1">
      <c r="B8" s="864"/>
      <c r="F8" s="986"/>
      <c r="G8" s="698"/>
      <c r="H8" s="297"/>
      <c r="I8" s="297"/>
      <c r="J8" s="297"/>
      <c r="K8" s="297"/>
      <c r="L8" s="297"/>
      <c r="M8" s="986"/>
      <c r="N8" s="986"/>
      <c r="O8" s="3039" t="s">
        <v>1117</v>
      </c>
      <c r="P8" s="3040"/>
      <c r="Q8" s="3040"/>
      <c r="R8" s="3040"/>
      <c r="S8" s="3040"/>
      <c r="T8" s="3040"/>
      <c r="U8" s="3040"/>
      <c r="V8" s="3040"/>
      <c r="W8" s="3040"/>
      <c r="X8" s="3040"/>
      <c r="Y8" s="3040"/>
      <c r="Z8" s="3040"/>
      <c r="AA8" s="3040"/>
      <c r="AB8" s="3040"/>
      <c r="AC8" s="3040"/>
      <c r="AD8" s="3040"/>
      <c r="AE8" s="3040"/>
      <c r="AF8" s="3040"/>
      <c r="AG8" s="3040"/>
      <c r="AH8" s="3040"/>
      <c r="AI8" s="3040"/>
      <c r="AJ8" s="3040"/>
      <c r="AK8" s="3040"/>
      <c r="AL8" s="3040"/>
      <c r="AM8" s="3040"/>
      <c r="AN8" s="3040"/>
      <c r="AO8" s="3040"/>
      <c r="AP8" s="3040"/>
      <c r="AQ8" s="3040"/>
      <c r="AR8" s="3040"/>
      <c r="AS8" s="3040"/>
      <c r="AT8" s="3040"/>
      <c r="AU8" s="3040"/>
      <c r="AV8" s="3040"/>
      <c r="AW8" s="3040"/>
      <c r="AX8" s="3040"/>
      <c r="AY8" s="3040"/>
      <c r="AZ8" s="3040"/>
      <c r="BA8" s="3040"/>
      <c r="BB8" s="3040"/>
      <c r="BC8" s="3040"/>
      <c r="BD8" s="3040"/>
      <c r="BE8" s="3040"/>
      <c r="BF8" s="3040"/>
      <c r="BG8" s="3040"/>
      <c r="BH8" s="3040"/>
      <c r="BI8" s="3040"/>
      <c r="BJ8" s="3040"/>
      <c r="BK8" s="3040"/>
      <c r="BL8" s="3040"/>
      <c r="BM8" s="3040"/>
      <c r="BN8" s="3040"/>
      <c r="BO8" s="3040"/>
      <c r="BP8" s="3040"/>
      <c r="BQ8" s="3040"/>
      <c r="BR8" s="3040"/>
      <c r="BS8" s="3041"/>
      <c r="BT8" s="3042"/>
      <c r="BU8" s="3043"/>
      <c r="BV8" s="3043"/>
      <c r="BW8" s="3043"/>
      <c r="BX8" s="3043"/>
      <c r="BY8" s="3043"/>
      <c r="BZ8" s="3043"/>
      <c r="CA8" s="3043"/>
      <c r="CB8" s="3043"/>
      <c r="CC8" s="3043"/>
      <c r="CD8" s="3043"/>
      <c r="CE8" s="3043"/>
      <c r="CF8" s="3043"/>
      <c r="CG8" s="3043"/>
      <c r="CH8" s="3043"/>
      <c r="CI8" s="3043"/>
      <c r="CJ8" s="3043"/>
      <c r="CK8" s="3043"/>
      <c r="CL8" s="3043"/>
      <c r="CM8" s="3043"/>
      <c r="CN8" s="3043"/>
      <c r="CO8" s="3043"/>
      <c r="CP8" s="3043"/>
      <c r="CQ8" s="3043"/>
      <c r="CR8" s="3043"/>
      <c r="CS8" s="3043"/>
      <c r="CT8" s="3043"/>
      <c r="CU8" s="3043"/>
      <c r="CV8" s="3043"/>
      <c r="CW8" s="3043"/>
      <c r="CX8" s="3044"/>
      <c r="CY8" s="3045"/>
      <c r="CZ8" s="3046"/>
      <c r="DA8" s="3046"/>
      <c r="DB8" s="3046"/>
      <c r="DC8" s="3046"/>
      <c r="DD8" s="3046"/>
      <c r="DE8" s="3046"/>
      <c r="DF8" s="3046"/>
      <c r="DG8" s="3046"/>
      <c r="DH8" s="3046"/>
      <c r="DI8" s="3046"/>
      <c r="DJ8" s="3046"/>
      <c r="DK8" s="3046"/>
      <c r="DL8" s="3046"/>
      <c r="DM8" s="3046"/>
      <c r="DN8" s="3046"/>
      <c r="DO8" s="3046"/>
      <c r="DP8" s="3046"/>
      <c r="DQ8" s="3046"/>
      <c r="DR8" s="3046"/>
      <c r="DS8" s="3046"/>
      <c r="DT8" s="3046"/>
      <c r="DU8" s="3046"/>
      <c r="DV8" s="3046"/>
      <c r="DW8" s="3046"/>
      <c r="DX8" s="3047"/>
      <c r="DY8" s="3033" t="s">
        <v>1118</v>
      </c>
      <c r="DZ8" s="3034"/>
      <c r="EA8" s="3034"/>
      <c r="EB8" s="3034"/>
      <c r="EC8" s="3034"/>
      <c r="ED8" s="3034"/>
      <c r="EE8" s="3034"/>
      <c r="EF8" s="3034"/>
      <c r="EG8" s="3034"/>
      <c r="EH8" s="3034"/>
      <c r="EI8" s="3034"/>
      <c r="EJ8" s="3034"/>
      <c r="EK8" s="3034"/>
      <c r="EL8" s="3034"/>
      <c r="EM8" s="3034"/>
      <c r="EN8" s="3034"/>
      <c r="EO8" s="3034"/>
      <c r="EP8" s="3034"/>
      <c r="EQ8" s="3034"/>
      <c r="ER8" s="3034"/>
      <c r="ES8" s="3034"/>
      <c r="ET8" s="3034"/>
      <c r="EU8" s="3034"/>
      <c r="EV8" s="3034"/>
      <c r="EW8" s="3034"/>
      <c r="EX8" s="3034"/>
      <c r="EY8" s="3034"/>
      <c r="EZ8" s="3034"/>
      <c r="FA8" s="3034"/>
      <c r="FB8" s="3034"/>
      <c r="FC8" s="3034"/>
      <c r="FD8" s="3034"/>
      <c r="FE8" s="3034"/>
      <c r="FF8" s="3034"/>
      <c r="FG8" s="3034"/>
      <c r="FH8" s="3034"/>
      <c r="FI8" s="3034"/>
      <c r="FJ8" s="3034"/>
      <c r="FK8" s="3034"/>
      <c r="FL8" s="3034"/>
      <c r="FM8" s="3034"/>
      <c r="FN8" s="3034"/>
      <c r="FO8" s="3034"/>
      <c r="FP8" s="3034"/>
      <c r="FQ8" s="3034"/>
      <c r="FR8" s="3034"/>
      <c r="FS8" s="3034"/>
      <c r="FT8" s="3034"/>
      <c r="FU8" s="3034"/>
      <c r="FV8" s="3034"/>
      <c r="FW8" s="3035"/>
      <c r="FX8" s="986"/>
      <c r="GC8" s="863">
        <v>0</v>
      </c>
    </row>
    <row r="9" spans="2:185" s="863" customFormat="1" ht="11.25" hidden="1" customHeight="1">
      <c r="B9" s="864"/>
      <c r="F9" s="986"/>
      <c r="G9" s="698"/>
      <c r="H9" s="297"/>
      <c r="I9" s="297"/>
      <c r="J9" s="297"/>
      <c r="K9" s="297"/>
      <c r="L9" s="297"/>
      <c r="M9" s="986"/>
      <c r="N9" s="986"/>
      <c r="O9" s="986"/>
      <c r="P9" s="986"/>
      <c r="Q9" s="986"/>
      <c r="R9" s="986"/>
      <c r="S9" s="986"/>
      <c r="T9" s="986"/>
      <c r="U9" s="986"/>
      <c r="V9" s="986"/>
      <c r="W9" s="986"/>
      <c r="X9" s="986"/>
      <c r="Y9" s="986"/>
      <c r="Z9" s="986"/>
      <c r="AA9" s="986"/>
      <c r="AB9" s="986"/>
      <c r="AC9" s="986"/>
      <c r="AD9" s="986"/>
      <c r="AE9" s="986"/>
      <c r="AF9" s="986"/>
      <c r="AG9" s="986"/>
      <c r="AH9" s="986"/>
      <c r="AI9" s="986"/>
      <c r="AJ9" s="986"/>
      <c r="AK9" s="986"/>
      <c r="AL9" s="986"/>
      <c r="AM9" s="986"/>
      <c r="AN9" s="986"/>
      <c r="AO9" s="986"/>
      <c r="AP9" s="986"/>
      <c r="AQ9" s="986"/>
      <c r="AR9" s="986"/>
      <c r="AS9" s="986"/>
      <c r="AT9" s="986"/>
      <c r="AU9" s="986"/>
      <c r="AV9" s="986"/>
      <c r="AW9" s="986"/>
      <c r="AX9" s="986"/>
      <c r="AY9" s="986"/>
      <c r="AZ9" s="986"/>
      <c r="BA9" s="986"/>
      <c r="BB9" s="986"/>
      <c r="BC9" s="986"/>
      <c r="BD9" s="986"/>
      <c r="BE9" s="986"/>
      <c r="BF9" s="986"/>
      <c r="BG9" s="986"/>
      <c r="BH9" s="986"/>
      <c r="BI9" s="986"/>
      <c r="BJ9" s="986"/>
      <c r="BK9" s="986"/>
      <c r="BL9" s="986"/>
      <c r="BM9" s="986"/>
      <c r="BN9" s="986"/>
      <c r="BO9" s="986"/>
      <c r="BP9" s="986"/>
      <c r="BQ9" s="986"/>
      <c r="BR9" s="986"/>
      <c r="BS9" s="986"/>
      <c r="BT9" s="986"/>
      <c r="BU9" s="986"/>
      <c r="BV9" s="986"/>
      <c r="BW9" s="986"/>
      <c r="BX9" s="986"/>
      <c r="BY9" s="986"/>
      <c r="BZ9" s="986"/>
      <c r="CA9" s="986"/>
      <c r="CB9" s="986"/>
      <c r="CC9" s="986"/>
      <c r="CD9" s="986"/>
      <c r="CE9" s="986"/>
      <c r="CF9" s="986"/>
      <c r="CG9" s="986"/>
      <c r="CH9" s="986"/>
      <c r="CI9" s="986"/>
      <c r="CJ9" s="986"/>
      <c r="CK9" s="986"/>
      <c r="CL9" s="986"/>
      <c r="CM9" s="986"/>
      <c r="CN9" s="986"/>
      <c r="CO9" s="986"/>
      <c r="CP9" s="986"/>
      <c r="CQ9" s="986"/>
      <c r="CR9" s="986"/>
      <c r="CS9" s="986"/>
      <c r="CT9" s="986"/>
      <c r="CU9" s="986"/>
      <c r="CV9" s="986"/>
      <c r="CW9" s="986"/>
      <c r="CX9" s="986"/>
      <c r="CY9" s="986"/>
      <c r="CZ9" s="986"/>
      <c r="DA9" s="986"/>
      <c r="DB9" s="986"/>
      <c r="DC9" s="986"/>
      <c r="DD9" s="986"/>
      <c r="DE9" s="986"/>
      <c r="DF9" s="986"/>
      <c r="DG9" s="986"/>
      <c r="DH9" s="986"/>
      <c r="DI9" s="986"/>
      <c r="DJ9" s="986"/>
      <c r="DK9" s="986"/>
      <c r="DL9" s="986"/>
      <c r="DM9" s="986"/>
      <c r="DN9" s="986"/>
      <c r="DO9" s="986"/>
      <c r="DP9" s="986"/>
      <c r="DQ9" s="986"/>
      <c r="DR9" s="986"/>
      <c r="DS9" s="986"/>
      <c r="DT9" s="986"/>
      <c r="DU9" s="986"/>
      <c r="DV9" s="986"/>
      <c r="DW9" s="986"/>
      <c r="DX9" s="986"/>
      <c r="DY9" s="986"/>
      <c r="DZ9" s="986"/>
      <c r="EA9" s="986"/>
      <c r="EB9" s="986"/>
      <c r="EC9" s="986"/>
      <c r="ED9" s="986"/>
      <c r="EE9" s="986"/>
      <c r="EF9" s="986"/>
      <c r="EG9" s="986"/>
      <c r="EH9" s="986"/>
      <c r="EI9" s="986"/>
      <c r="EJ9" s="986"/>
      <c r="EK9" s="986"/>
      <c r="EL9" s="986"/>
      <c r="EM9" s="986"/>
      <c r="EN9" s="986"/>
      <c r="EO9" s="986"/>
      <c r="EP9" s="986"/>
      <c r="EQ9" s="986"/>
      <c r="ER9" s="986"/>
      <c r="ES9" s="986"/>
      <c r="ET9" s="986"/>
      <c r="EU9" s="986"/>
      <c r="EV9" s="986"/>
      <c r="EW9" s="986"/>
      <c r="EX9" s="986"/>
      <c r="EY9" s="986"/>
      <c r="EZ9" s="986"/>
      <c r="FA9" s="986"/>
      <c r="FB9" s="986"/>
      <c r="FC9" s="986"/>
      <c r="FD9" s="986"/>
      <c r="FE9" s="986"/>
      <c r="FF9" s="986"/>
      <c r="FG9" s="986"/>
      <c r="FH9" s="986"/>
      <c r="FI9" s="986"/>
      <c r="FJ9" s="986"/>
      <c r="FK9" s="986"/>
      <c r="FL9" s="986"/>
      <c r="FM9" s="986"/>
      <c r="FN9" s="986"/>
      <c r="FO9" s="986"/>
      <c r="FP9" s="986"/>
      <c r="FQ9" s="986"/>
      <c r="FR9" s="986"/>
      <c r="FS9" s="986"/>
      <c r="FT9" s="986"/>
      <c r="FU9" s="986"/>
      <c r="FV9" s="986"/>
      <c r="FW9" s="3036"/>
      <c r="FX9" s="986"/>
      <c r="GC9" s="863">
        <v>0</v>
      </c>
    </row>
    <row r="10" spans="2:185" s="863" customFormat="1" ht="11.25" customHeight="1">
      <c r="B10" s="864"/>
      <c r="F10" s="3012" t="s">
        <v>345</v>
      </c>
      <c r="G10" s="3049"/>
      <c r="H10" s="3049"/>
      <c r="I10" s="3049"/>
      <c r="J10" s="3049"/>
      <c r="K10" s="3049"/>
      <c r="L10" s="3049"/>
      <c r="M10" s="3049"/>
      <c r="N10" s="3049"/>
      <c r="O10" s="3049"/>
      <c r="P10" s="3049"/>
      <c r="Q10" s="3049"/>
      <c r="R10" s="3049"/>
      <c r="S10" s="3049"/>
      <c r="T10" s="3049"/>
      <c r="U10" s="3049"/>
      <c r="V10" s="3049"/>
      <c r="W10" s="3049"/>
      <c r="X10" s="3049"/>
      <c r="Y10" s="3049"/>
      <c r="Z10" s="3049"/>
      <c r="AA10" s="3049"/>
      <c r="AB10" s="3049"/>
      <c r="AC10" s="3049"/>
      <c r="AD10" s="3049"/>
      <c r="AE10" s="3049"/>
      <c r="AF10" s="3049"/>
      <c r="AG10" s="3049"/>
      <c r="AH10" s="3049"/>
      <c r="AI10" s="3049"/>
      <c r="AJ10" s="3049"/>
      <c r="AK10" s="3049"/>
      <c r="AL10" s="3049"/>
      <c r="AM10" s="3049"/>
      <c r="AN10" s="3049"/>
      <c r="AO10" s="3049"/>
      <c r="AP10" s="3049"/>
      <c r="AQ10" s="3049"/>
      <c r="AR10" s="3049"/>
      <c r="AS10" s="3049"/>
      <c r="AT10" s="3049"/>
      <c r="AU10" s="3049"/>
      <c r="AV10" s="3049"/>
      <c r="AW10" s="3049"/>
      <c r="AX10" s="3049"/>
      <c r="AY10" s="3049"/>
      <c r="AZ10" s="3049"/>
      <c r="BA10" s="3049"/>
      <c r="BB10" s="3049"/>
      <c r="BC10" s="3049"/>
      <c r="BD10" s="3049"/>
      <c r="BE10" s="3049"/>
      <c r="BF10" s="3049"/>
      <c r="BG10" s="3049"/>
      <c r="BH10" s="3049"/>
      <c r="BI10" s="3049"/>
      <c r="BJ10" s="3049"/>
      <c r="BK10" s="3049"/>
      <c r="BL10" s="3049"/>
      <c r="BM10" s="3049"/>
      <c r="BN10" s="3049"/>
      <c r="BO10" s="3049"/>
      <c r="BP10" s="3049"/>
      <c r="BQ10" s="3049"/>
      <c r="BR10" s="3049"/>
      <c r="BS10" s="3049"/>
      <c r="BT10" s="3049"/>
      <c r="BU10" s="3049"/>
      <c r="BV10" s="3049"/>
      <c r="BW10" s="3049"/>
      <c r="BX10" s="3049"/>
      <c r="BY10" s="3049"/>
      <c r="BZ10" s="3049"/>
      <c r="CA10" s="3049"/>
      <c r="CB10" s="3049"/>
      <c r="CC10" s="3049"/>
      <c r="CD10" s="3049"/>
      <c r="CE10" s="3049"/>
      <c r="CF10" s="3049"/>
      <c r="CG10" s="3049"/>
      <c r="CH10" s="3049"/>
      <c r="CI10" s="3049"/>
      <c r="CJ10" s="3049"/>
      <c r="CK10" s="3049"/>
      <c r="CL10" s="3049"/>
      <c r="CM10" s="3049"/>
      <c r="CN10" s="3049"/>
      <c r="CO10" s="3049"/>
      <c r="CP10" s="3049"/>
      <c r="CQ10" s="3049"/>
      <c r="CR10" s="3049"/>
      <c r="CS10" s="3049"/>
      <c r="CT10" s="3049"/>
      <c r="CU10" s="3049"/>
      <c r="CV10" s="3049"/>
      <c r="CW10" s="3049"/>
      <c r="CX10" s="3049"/>
      <c r="CY10" s="3049"/>
      <c r="CZ10" s="3049"/>
      <c r="DA10" s="3049"/>
      <c r="DB10" s="3049"/>
      <c r="DC10" s="3049"/>
      <c r="DD10" s="3049"/>
      <c r="DE10" s="3049"/>
      <c r="DF10" s="3049"/>
      <c r="DG10" s="3049"/>
      <c r="DH10" s="3049"/>
      <c r="DI10" s="3049"/>
      <c r="DJ10" s="3049"/>
      <c r="DK10" s="3049"/>
      <c r="DL10" s="3049"/>
      <c r="DM10" s="3049"/>
      <c r="DN10" s="3049"/>
      <c r="DO10" s="3049"/>
      <c r="DP10" s="3049"/>
      <c r="DQ10" s="3049"/>
      <c r="DR10" s="3049"/>
      <c r="DS10" s="3049"/>
      <c r="DT10" s="3049"/>
      <c r="DU10" s="3049"/>
      <c r="DV10" s="3049"/>
      <c r="DW10" s="3049"/>
      <c r="DX10" s="3049"/>
      <c r="DY10" s="3049"/>
      <c r="DZ10" s="3049"/>
      <c r="EA10" s="3049"/>
      <c r="EB10" s="3049"/>
      <c r="EC10" s="3049"/>
      <c r="ED10" s="3049"/>
      <c r="EE10" s="3049"/>
      <c r="EF10" s="3049"/>
      <c r="EG10" s="3049"/>
      <c r="EH10" s="3049"/>
      <c r="EI10" s="3049"/>
      <c r="EJ10" s="3049"/>
      <c r="EK10" s="3049"/>
      <c r="EL10" s="3049"/>
      <c r="EM10" s="3049"/>
      <c r="EN10" s="3049"/>
      <c r="EO10" s="3049"/>
      <c r="EP10" s="3049"/>
      <c r="EQ10" s="3049"/>
      <c r="ER10" s="3049"/>
      <c r="ES10" s="3049"/>
      <c r="ET10" s="3049"/>
      <c r="EU10" s="3049"/>
      <c r="EV10" s="3049"/>
      <c r="EW10" s="3049"/>
      <c r="EX10" s="3049"/>
      <c r="EY10" s="3049"/>
      <c r="EZ10" s="3049"/>
      <c r="FA10" s="3049"/>
      <c r="FB10" s="3049"/>
      <c r="FC10" s="3049"/>
      <c r="FD10" s="3049"/>
      <c r="FE10" s="3049"/>
      <c r="FF10" s="3049"/>
      <c r="FG10" s="3049"/>
      <c r="FH10" s="3049"/>
      <c r="FI10" s="3049"/>
      <c r="FJ10" s="3049"/>
      <c r="FK10" s="3049"/>
      <c r="FL10" s="3049"/>
      <c r="FM10" s="3049"/>
      <c r="FN10" s="3049"/>
      <c r="FO10" s="3049"/>
      <c r="FP10" s="3049"/>
      <c r="FQ10" s="3049"/>
      <c r="FR10" s="3049"/>
      <c r="FS10" s="3049"/>
      <c r="FT10" s="3049"/>
      <c r="FU10" s="3049"/>
      <c r="FV10" s="3050"/>
      <c r="FW10" s="3036"/>
      <c r="FX10" s="986"/>
      <c r="GC10" s="863">
        <v>11</v>
      </c>
    </row>
    <row r="11" spans="2:185" ht="12.75" customHeight="1">
      <c r="E11" s="867"/>
      <c r="F11" s="2853" t="s">
        <v>93</v>
      </c>
      <c r="G11" s="2853" t="s">
        <v>1119</v>
      </c>
      <c r="H11" s="2853" t="s">
        <v>1120</v>
      </c>
      <c r="I11" s="2853" t="s">
        <v>1121</v>
      </c>
      <c r="J11" s="3048"/>
      <c r="K11" s="3048"/>
      <c r="L11" s="3048"/>
      <c r="M11" s="3048"/>
      <c r="N11" s="3048"/>
      <c r="O11" s="2857" t="s">
        <v>1122</v>
      </c>
      <c r="P11" s="2857"/>
      <c r="Q11" s="2857"/>
      <c r="R11" s="2857"/>
      <c r="S11" s="2857"/>
      <c r="T11" s="2857"/>
      <c r="U11" s="2857"/>
      <c r="V11" s="2857"/>
      <c r="W11" s="2857"/>
      <c r="X11" s="2857"/>
      <c r="Y11" s="2857"/>
      <c r="Z11" s="2857"/>
      <c r="AA11" s="2857"/>
      <c r="AB11" s="2857"/>
      <c r="AC11" s="3031"/>
      <c r="AD11" s="3031"/>
      <c r="AE11" s="3031"/>
      <c r="AF11" s="3031"/>
      <c r="AG11" s="3031"/>
      <c r="AH11" s="3031"/>
      <c r="AI11" s="3031"/>
      <c r="AJ11" s="3031"/>
      <c r="AK11" s="3031"/>
      <c r="AL11" s="3031"/>
      <c r="AM11" s="3031"/>
      <c r="AN11" s="3031"/>
      <c r="AO11" s="3031"/>
      <c r="AP11" s="3031"/>
      <c r="AQ11" s="3031"/>
      <c r="AR11" s="3031"/>
      <c r="AS11" s="3031"/>
      <c r="AT11" s="3031"/>
      <c r="AU11" s="3031"/>
      <c r="AV11" s="3031"/>
      <c r="AW11" s="3031"/>
      <c r="AX11" s="3031"/>
      <c r="AY11" s="3031"/>
      <c r="AZ11" s="3031"/>
      <c r="BA11" s="3031"/>
      <c r="BB11" s="3031"/>
      <c r="BC11" s="3031"/>
      <c r="BD11" s="3031"/>
      <c r="BE11" s="3031"/>
      <c r="BF11" s="3031"/>
      <c r="BG11" s="3031"/>
      <c r="BH11" s="3031"/>
      <c r="BI11" s="3031"/>
      <c r="BJ11" s="3031"/>
      <c r="BK11" s="3031"/>
      <c r="BL11" s="3031"/>
      <c r="BM11" s="3031"/>
      <c r="BN11" s="3031"/>
      <c r="BO11" s="3031"/>
      <c r="BP11" s="3031"/>
      <c r="BQ11" s="3031"/>
      <c r="BR11" s="3031"/>
      <c r="BS11" s="3032"/>
      <c r="BT11" s="2998" t="s">
        <v>1122</v>
      </c>
      <c r="BU11" s="2999"/>
      <c r="BV11" s="2999"/>
      <c r="BW11" s="2999"/>
      <c r="BX11" s="2999"/>
      <c r="BY11" s="2999"/>
      <c r="BZ11" s="2999"/>
      <c r="CA11" s="2999"/>
      <c r="CB11" s="2999"/>
      <c r="CC11" s="2999"/>
      <c r="CD11" s="2999"/>
      <c r="CE11" s="2999"/>
      <c r="CF11" s="2999"/>
      <c r="CG11" s="2999"/>
      <c r="CH11" s="2999"/>
      <c r="CI11" s="2999"/>
      <c r="CJ11" s="2999"/>
      <c r="CK11" s="3030"/>
      <c r="CL11" s="3038"/>
      <c r="CM11" s="3031"/>
      <c r="CN11" s="3031"/>
      <c r="CO11" s="3031"/>
      <c r="CP11" s="3031"/>
      <c r="CQ11" s="3031"/>
      <c r="CR11" s="3031"/>
      <c r="CS11" s="3031"/>
      <c r="CT11" s="3031"/>
      <c r="CU11" s="3031"/>
      <c r="CV11" s="3031"/>
      <c r="CW11" s="3031"/>
      <c r="CX11" s="3032"/>
      <c r="CY11" s="2998" t="s">
        <v>1122</v>
      </c>
      <c r="CZ11" s="2999"/>
      <c r="DA11" s="2999"/>
      <c r="DB11" s="2999"/>
      <c r="DC11" s="2999"/>
      <c r="DD11" s="2999"/>
      <c r="DE11" s="2999"/>
      <c r="DF11" s="2999"/>
      <c r="DG11" s="2999"/>
      <c r="DH11" s="2999"/>
      <c r="DI11" s="2999"/>
      <c r="DJ11" s="3030"/>
      <c r="DK11" s="3038"/>
      <c r="DL11" s="3031"/>
      <c r="DM11" s="3031"/>
      <c r="DN11" s="3031"/>
      <c r="DO11" s="3031"/>
      <c r="DP11" s="3031"/>
      <c r="DQ11" s="3031"/>
      <c r="DR11" s="3031"/>
      <c r="DS11" s="3031"/>
      <c r="DT11" s="3031"/>
      <c r="DU11" s="3031"/>
      <c r="DV11" s="3031"/>
      <c r="DW11" s="3031"/>
      <c r="DX11" s="3031"/>
      <c r="DY11" s="3031"/>
      <c r="DZ11" s="3031"/>
      <c r="EA11" s="3031"/>
      <c r="EB11" s="3031"/>
      <c r="EC11" s="3031"/>
      <c r="ED11" s="3031"/>
      <c r="EE11" s="3031"/>
      <c r="EF11" s="3031"/>
      <c r="EG11" s="3031"/>
      <c r="EH11" s="3031"/>
      <c r="EI11" s="3031"/>
      <c r="EJ11" s="3031"/>
      <c r="EK11" s="3031"/>
      <c r="EL11" s="3031"/>
      <c r="EM11" s="3031"/>
      <c r="EN11" s="3031"/>
      <c r="EO11" s="3031"/>
      <c r="EP11" s="3031"/>
      <c r="EQ11" s="3031"/>
      <c r="ER11" s="3031"/>
      <c r="ES11" s="3031"/>
      <c r="ET11" s="3031"/>
      <c r="EU11" s="3031"/>
      <c r="EV11" s="3031"/>
      <c r="EW11" s="3031"/>
      <c r="EX11" s="3031"/>
      <c r="EY11" s="3031"/>
      <c r="EZ11" s="3031"/>
      <c r="FA11" s="3031"/>
      <c r="FB11" s="3031"/>
      <c r="FC11" s="3031"/>
      <c r="FD11" s="3031"/>
      <c r="FE11" s="3031"/>
      <c r="FF11" s="3031"/>
      <c r="FG11" s="3031"/>
      <c r="FH11" s="3031"/>
      <c r="FI11" s="3031"/>
      <c r="FJ11" s="3031"/>
      <c r="FK11" s="3031"/>
      <c r="FL11" s="3031"/>
      <c r="FM11" s="3031"/>
      <c r="FN11" s="3031"/>
      <c r="FO11" s="3031"/>
      <c r="FP11" s="3031"/>
      <c r="FQ11" s="3031"/>
      <c r="FR11" s="3031"/>
      <c r="FS11" s="3031"/>
      <c r="FT11" s="3031"/>
      <c r="FU11" s="3031"/>
      <c r="FV11" s="3031"/>
      <c r="FW11" s="3036"/>
      <c r="FX11" s="697"/>
      <c r="GC11" s="856">
        <v>12</v>
      </c>
    </row>
    <row r="12" spans="2:185" ht="12.75" customHeight="1">
      <c r="D12" s="868"/>
      <c r="E12" s="867"/>
      <c r="F12" s="2853"/>
      <c r="G12" s="2853"/>
      <c r="H12" s="2853"/>
      <c r="I12" s="2853"/>
      <c r="J12" s="3048"/>
      <c r="K12" s="3048"/>
      <c r="L12" s="3048"/>
      <c r="M12" s="3048"/>
      <c r="N12" s="3048"/>
      <c r="O12" s="2857" t="s">
        <v>1123</v>
      </c>
      <c r="P12" s="2857"/>
      <c r="Q12" s="2857"/>
      <c r="R12" s="2857"/>
      <c r="S12" s="2857" t="s">
        <v>1124</v>
      </c>
      <c r="T12" s="2857"/>
      <c r="U12" s="2857"/>
      <c r="V12" s="2857"/>
      <c r="W12" s="2857"/>
      <c r="X12" s="2857"/>
      <c r="Y12" s="2857"/>
      <c r="Z12" s="2857"/>
      <c r="AA12" s="2857"/>
      <c r="AB12" s="2857"/>
      <c r="AC12" s="3031"/>
      <c r="AD12" s="3031"/>
      <c r="AE12" s="3031"/>
      <c r="AF12" s="3031"/>
      <c r="AG12" s="3031"/>
      <c r="AH12" s="3031"/>
      <c r="AI12" s="3031"/>
      <c r="AJ12" s="3031"/>
      <c r="AK12" s="3031"/>
      <c r="AL12" s="3031"/>
      <c r="AM12" s="3031"/>
      <c r="AN12" s="3031"/>
      <c r="AO12" s="3031"/>
      <c r="AP12" s="3031"/>
      <c r="AQ12" s="3031"/>
      <c r="AR12" s="3031"/>
      <c r="AS12" s="3031"/>
      <c r="AT12" s="3031"/>
      <c r="AU12" s="3031"/>
      <c r="AV12" s="3031"/>
      <c r="AW12" s="3031"/>
      <c r="AX12" s="3031"/>
      <c r="AY12" s="3031"/>
      <c r="AZ12" s="3031"/>
      <c r="BA12" s="3031"/>
      <c r="BB12" s="3031"/>
      <c r="BC12" s="3031"/>
      <c r="BD12" s="3031"/>
      <c r="BE12" s="3031"/>
      <c r="BF12" s="3031"/>
      <c r="BG12" s="3031"/>
      <c r="BH12" s="3031"/>
      <c r="BI12" s="3031"/>
      <c r="BJ12" s="3031"/>
      <c r="BK12" s="3031"/>
      <c r="BL12" s="3031"/>
      <c r="BM12" s="3031"/>
      <c r="BN12" s="3031"/>
      <c r="BO12" s="3031"/>
      <c r="BP12" s="3031"/>
      <c r="BQ12" s="3031"/>
      <c r="BR12" s="3031"/>
      <c r="BS12" s="3032"/>
      <c r="BT12" s="2998" t="s">
        <v>1125</v>
      </c>
      <c r="BU12" s="2999"/>
      <c r="BV12" s="2999"/>
      <c r="BW12" s="3030"/>
      <c r="BX12" s="2998" t="s">
        <v>1126</v>
      </c>
      <c r="BY12" s="2999"/>
      <c r="BZ12" s="2999"/>
      <c r="CA12" s="3030"/>
      <c r="CB12" s="2998" t="s">
        <v>1127</v>
      </c>
      <c r="CC12" s="3030"/>
      <c r="CD12" s="2998" t="s">
        <v>1128</v>
      </c>
      <c r="CE12" s="2999"/>
      <c r="CF12" s="2999"/>
      <c r="CG12" s="2999"/>
      <c r="CH12" s="2999"/>
      <c r="CI12" s="2999"/>
      <c r="CJ12" s="2999"/>
      <c r="CK12" s="3030"/>
      <c r="CL12" s="3038"/>
      <c r="CM12" s="3031"/>
      <c r="CN12" s="3031"/>
      <c r="CO12" s="3031"/>
      <c r="CP12" s="3031"/>
      <c r="CQ12" s="3031"/>
      <c r="CR12" s="3031"/>
      <c r="CS12" s="3031"/>
      <c r="CT12" s="3031"/>
      <c r="CU12" s="3031"/>
      <c r="CV12" s="3031"/>
      <c r="CW12" s="3031"/>
      <c r="CX12" s="3032"/>
      <c r="CY12" s="2998" t="s">
        <v>1129</v>
      </c>
      <c r="CZ12" s="2999"/>
      <c r="DA12" s="2999"/>
      <c r="DB12" s="2999"/>
      <c r="DC12" s="2999"/>
      <c r="DD12" s="3030"/>
      <c r="DE12" s="2998" t="s">
        <v>1130</v>
      </c>
      <c r="DF12" s="3030"/>
      <c r="DG12" s="2998" t="s">
        <v>1128</v>
      </c>
      <c r="DH12" s="2999"/>
      <c r="DI12" s="2999"/>
      <c r="DJ12" s="3030"/>
      <c r="DK12" s="3038"/>
      <c r="DL12" s="3031"/>
      <c r="DM12" s="3031"/>
      <c r="DN12" s="3031"/>
      <c r="DO12" s="3031"/>
      <c r="DP12" s="3031"/>
      <c r="DQ12" s="3031"/>
      <c r="DR12" s="3031"/>
      <c r="DS12" s="3031"/>
      <c r="DT12" s="3031"/>
      <c r="DU12" s="3031"/>
      <c r="DV12" s="3031"/>
      <c r="DW12" s="3031"/>
      <c r="DX12" s="3031"/>
      <c r="DY12" s="3031"/>
      <c r="DZ12" s="3031"/>
      <c r="EA12" s="3031"/>
      <c r="EB12" s="3031"/>
      <c r="EC12" s="3031"/>
      <c r="ED12" s="3031"/>
      <c r="EE12" s="3031"/>
      <c r="EF12" s="3031"/>
      <c r="EG12" s="3031"/>
      <c r="EH12" s="3031"/>
      <c r="EI12" s="3031"/>
      <c r="EJ12" s="3031"/>
      <c r="EK12" s="3031"/>
      <c r="EL12" s="3031"/>
      <c r="EM12" s="3031"/>
      <c r="EN12" s="3031"/>
      <c r="EO12" s="3031"/>
      <c r="EP12" s="3031"/>
      <c r="EQ12" s="3031"/>
      <c r="ER12" s="3031"/>
      <c r="ES12" s="3031"/>
      <c r="ET12" s="3031"/>
      <c r="EU12" s="3031"/>
      <c r="EV12" s="3031"/>
      <c r="EW12" s="3031"/>
      <c r="EX12" s="3031"/>
      <c r="EY12" s="3031"/>
      <c r="EZ12" s="3031"/>
      <c r="FA12" s="3031"/>
      <c r="FB12" s="3031"/>
      <c r="FC12" s="3031"/>
      <c r="FD12" s="3031"/>
      <c r="FE12" s="3031"/>
      <c r="FF12" s="3031"/>
      <c r="FG12" s="3031"/>
      <c r="FH12" s="3031"/>
      <c r="FI12" s="3031"/>
      <c r="FJ12" s="3031"/>
      <c r="FK12" s="3031"/>
      <c r="FL12" s="3031"/>
      <c r="FM12" s="3031"/>
      <c r="FN12" s="3031"/>
      <c r="FO12" s="3031"/>
      <c r="FP12" s="3031"/>
      <c r="FQ12" s="3031"/>
      <c r="FR12" s="3031"/>
      <c r="FS12" s="3031"/>
      <c r="FT12" s="3031"/>
      <c r="FU12" s="3031"/>
      <c r="FV12" s="3031"/>
      <c r="FW12" s="3036"/>
      <c r="FX12" s="697"/>
      <c r="GC12" s="856">
        <v>12</v>
      </c>
    </row>
    <row r="13" spans="2:185" ht="37.5" customHeight="1">
      <c r="D13" s="868"/>
      <c r="E13" s="867"/>
      <c r="F13" s="2853"/>
      <c r="G13" s="2853"/>
      <c r="H13" s="2853"/>
      <c r="I13" s="2853"/>
      <c r="J13" s="3048"/>
      <c r="K13" s="3048"/>
      <c r="L13" s="3048"/>
      <c r="M13" s="3048"/>
      <c r="N13" s="3048"/>
      <c r="O13" s="2857" t="s">
        <v>1131</v>
      </c>
      <c r="P13" s="2857"/>
      <c r="Q13" s="2857"/>
      <c r="R13" s="2857"/>
      <c r="S13" s="2959" t="s">
        <v>1132</v>
      </c>
      <c r="T13" s="3000"/>
      <c r="U13" s="2758" t="s">
        <v>1133</v>
      </c>
      <c r="V13" s="2758"/>
      <c r="W13" s="2758"/>
      <c r="X13" s="2758"/>
      <c r="Y13" s="2758" t="s">
        <v>1134</v>
      </c>
      <c r="Z13" s="2758"/>
      <c r="AA13" s="2758"/>
      <c r="AB13" s="2758"/>
      <c r="AC13" s="3031"/>
      <c r="AD13" s="3031"/>
      <c r="AE13" s="3031"/>
      <c r="AF13" s="3031"/>
      <c r="AG13" s="3031"/>
      <c r="AH13" s="3031"/>
      <c r="AI13" s="3031"/>
      <c r="AJ13" s="3031"/>
      <c r="AK13" s="3031"/>
      <c r="AL13" s="3031"/>
      <c r="AM13" s="3031"/>
      <c r="AN13" s="3031"/>
      <c r="AO13" s="3031"/>
      <c r="AP13" s="3031"/>
      <c r="AQ13" s="3031"/>
      <c r="AR13" s="3031"/>
      <c r="AS13" s="3031"/>
      <c r="AT13" s="3031"/>
      <c r="AU13" s="3031"/>
      <c r="AV13" s="3031"/>
      <c r="AW13" s="3031"/>
      <c r="AX13" s="3031"/>
      <c r="AY13" s="3031"/>
      <c r="AZ13" s="3031"/>
      <c r="BA13" s="3031"/>
      <c r="BB13" s="3031"/>
      <c r="BC13" s="3031"/>
      <c r="BD13" s="3031"/>
      <c r="BE13" s="3031"/>
      <c r="BF13" s="3031"/>
      <c r="BG13" s="3031"/>
      <c r="BH13" s="3031"/>
      <c r="BI13" s="3031"/>
      <c r="BJ13" s="3031"/>
      <c r="BK13" s="3031"/>
      <c r="BL13" s="3031"/>
      <c r="BM13" s="3031"/>
      <c r="BN13" s="3031"/>
      <c r="BO13" s="3031"/>
      <c r="BP13" s="3031"/>
      <c r="BQ13" s="3031"/>
      <c r="BR13" s="3031"/>
      <c r="BS13" s="3032"/>
      <c r="BT13" s="2959" t="s">
        <v>1135</v>
      </c>
      <c r="BU13" s="3000"/>
      <c r="BV13" s="2959" t="s">
        <v>1136</v>
      </c>
      <c r="BW13" s="3000"/>
      <c r="BX13" s="2959" t="s">
        <v>1137</v>
      </c>
      <c r="BY13" s="3000"/>
      <c r="BZ13" s="2959" t="s">
        <v>1138</v>
      </c>
      <c r="CA13" s="3000"/>
      <c r="CB13" s="2959" t="s">
        <v>1139</v>
      </c>
      <c r="CC13" s="3000"/>
      <c r="CD13" s="2959" t="s">
        <v>1140</v>
      </c>
      <c r="CE13" s="3000"/>
      <c r="CF13" s="2959" t="s">
        <v>1141</v>
      </c>
      <c r="CG13" s="3000"/>
      <c r="CH13" s="2998" t="s">
        <v>1142</v>
      </c>
      <c r="CI13" s="2999"/>
      <c r="CJ13" s="2999"/>
      <c r="CK13" s="3030"/>
      <c r="CL13" s="3038"/>
      <c r="CM13" s="3031"/>
      <c r="CN13" s="3031"/>
      <c r="CO13" s="3031"/>
      <c r="CP13" s="3031"/>
      <c r="CQ13" s="3031"/>
      <c r="CR13" s="3031"/>
      <c r="CS13" s="3031"/>
      <c r="CT13" s="3031"/>
      <c r="CU13" s="3031"/>
      <c r="CV13" s="3031"/>
      <c r="CW13" s="3031"/>
      <c r="CX13" s="3032"/>
      <c r="CY13" s="2959" t="s">
        <v>1143</v>
      </c>
      <c r="CZ13" s="3000"/>
      <c r="DA13" s="2959" t="s">
        <v>1144</v>
      </c>
      <c r="DB13" s="3000"/>
      <c r="DC13" s="2959" t="s">
        <v>1145</v>
      </c>
      <c r="DD13" s="3000"/>
      <c r="DE13" s="2959" t="s">
        <v>1146</v>
      </c>
      <c r="DF13" s="3000"/>
      <c r="DG13" s="2998" t="s">
        <v>1147</v>
      </c>
      <c r="DH13" s="2999"/>
      <c r="DI13" s="2999"/>
      <c r="DJ13" s="3030"/>
      <c r="DK13" s="3038"/>
      <c r="DL13" s="3031"/>
      <c r="DM13" s="3031"/>
      <c r="DN13" s="3031"/>
      <c r="DO13" s="3031"/>
      <c r="DP13" s="3031"/>
      <c r="DQ13" s="3031"/>
      <c r="DR13" s="3031"/>
      <c r="DS13" s="3031"/>
      <c r="DT13" s="3031"/>
      <c r="DU13" s="3031"/>
      <c r="DV13" s="3031"/>
      <c r="DW13" s="3031"/>
      <c r="DX13" s="3031"/>
      <c r="DY13" s="3031"/>
      <c r="DZ13" s="3031"/>
      <c r="EA13" s="3031"/>
      <c r="EB13" s="3031"/>
      <c r="EC13" s="3031"/>
      <c r="ED13" s="3031"/>
      <c r="EE13" s="3031"/>
      <c r="EF13" s="3031"/>
      <c r="EG13" s="3031"/>
      <c r="EH13" s="3031"/>
      <c r="EI13" s="3031"/>
      <c r="EJ13" s="3031"/>
      <c r="EK13" s="3031"/>
      <c r="EL13" s="3031"/>
      <c r="EM13" s="3031"/>
      <c r="EN13" s="3031"/>
      <c r="EO13" s="3031"/>
      <c r="EP13" s="3031"/>
      <c r="EQ13" s="3031"/>
      <c r="ER13" s="3031"/>
      <c r="ES13" s="3031"/>
      <c r="ET13" s="3031"/>
      <c r="EU13" s="3031"/>
      <c r="EV13" s="3031"/>
      <c r="EW13" s="3031"/>
      <c r="EX13" s="3031"/>
      <c r="EY13" s="3031"/>
      <c r="EZ13" s="3031"/>
      <c r="FA13" s="3031"/>
      <c r="FB13" s="3031"/>
      <c r="FC13" s="3031"/>
      <c r="FD13" s="3031"/>
      <c r="FE13" s="3031"/>
      <c r="FF13" s="3031"/>
      <c r="FG13" s="3031"/>
      <c r="FH13" s="3031"/>
      <c r="FI13" s="3031"/>
      <c r="FJ13" s="3031"/>
      <c r="FK13" s="3031"/>
      <c r="FL13" s="3031"/>
      <c r="FM13" s="3031"/>
      <c r="FN13" s="3031"/>
      <c r="FO13" s="3031"/>
      <c r="FP13" s="3031"/>
      <c r="FQ13" s="3031"/>
      <c r="FR13" s="3031"/>
      <c r="FS13" s="3031"/>
      <c r="FT13" s="3031"/>
      <c r="FU13" s="3031"/>
      <c r="FV13" s="3031"/>
      <c r="FW13" s="3036"/>
      <c r="FX13" s="697"/>
      <c r="GC13" s="856">
        <v>36</v>
      </c>
    </row>
    <row r="14" spans="2:185" ht="37.5" customHeight="1">
      <c r="D14" s="868"/>
      <c r="E14" s="867"/>
      <c r="F14" s="2853"/>
      <c r="G14" s="2853"/>
      <c r="H14" s="2853"/>
      <c r="I14" s="2853"/>
      <c r="J14" s="3048"/>
      <c r="K14" s="3048"/>
      <c r="L14" s="3048"/>
      <c r="M14" s="3048"/>
      <c r="N14" s="3048"/>
      <c r="O14" s="2959" t="s">
        <v>1148</v>
      </c>
      <c r="P14" s="3000"/>
      <c r="Q14" s="2959" t="s">
        <v>1149</v>
      </c>
      <c r="R14" s="3000"/>
      <c r="S14" s="2960"/>
      <c r="T14" s="2861"/>
      <c r="U14" s="2959" t="s">
        <v>881</v>
      </c>
      <c r="V14" s="3000"/>
      <c r="W14" s="2959" t="s">
        <v>884</v>
      </c>
      <c r="X14" s="3000"/>
      <c r="Y14" s="2959" t="s">
        <v>881</v>
      </c>
      <c r="Z14" s="3000"/>
      <c r="AA14" s="2959" t="s">
        <v>891</v>
      </c>
      <c r="AB14" s="3000"/>
      <c r="AC14" s="3031"/>
      <c r="AD14" s="3031"/>
      <c r="AE14" s="3031"/>
      <c r="AF14" s="3031"/>
      <c r="AG14" s="3031"/>
      <c r="AH14" s="3031"/>
      <c r="AI14" s="3031"/>
      <c r="AJ14" s="3031"/>
      <c r="AK14" s="3031"/>
      <c r="AL14" s="3031"/>
      <c r="AM14" s="3031"/>
      <c r="AN14" s="3031"/>
      <c r="AO14" s="3031"/>
      <c r="AP14" s="3031"/>
      <c r="AQ14" s="3031"/>
      <c r="AR14" s="3031"/>
      <c r="AS14" s="3031"/>
      <c r="AT14" s="3031"/>
      <c r="AU14" s="3031"/>
      <c r="AV14" s="3031"/>
      <c r="AW14" s="3031"/>
      <c r="AX14" s="3031"/>
      <c r="AY14" s="3031"/>
      <c r="AZ14" s="3031"/>
      <c r="BA14" s="3031"/>
      <c r="BB14" s="3031"/>
      <c r="BC14" s="3031"/>
      <c r="BD14" s="3031"/>
      <c r="BE14" s="3031"/>
      <c r="BF14" s="3031"/>
      <c r="BG14" s="3031"/>
      <c r="BH14" s="3031"/>
      <c r="BI14" s="3031"/>
      <c r="BJ14" s="3031"/>
      <c r="BK14" s="3031"/>
      <c r="BL14" s="3031"/>
      <c r="BM14" s="3031"/>
      <c r="BN14" s="3031"/>
      <c r="BO14" s="3031"/>
      <c r="BP14" s="3031"/>
      <c r="BQ14" s="3031"/>
      <c r="BR14" s="3031"/>
      <c r="BS14" s="3032"/>
      <c r="BT14" s="2960"/>
      <c r="BU14" s="2861"/>
      <c r="BV14" s="2960"/>
      <c r="BW14" s="2861"/>
      <c r="BX14" s="2960"/>
      <c r="BY14" s="2861"/>
      <c r="BZ14" s="2960"/>
      <c r="CA14" s="2861"/>
      <c r="CB14" s="2960"/>
      <c r="CC14" s="2861"/>
      <c r="CD14" s="2960"/>
      <c r="CE14" s="2861"/>
      <c r="CF14" s="2960"/>
      <c r="CG14" s="2861"/>
      <c r="CH14" s="2959" t="s">
        <v>1150</v>
      </c>
      <c r="CI14" s="3000"/>
      <c r="CJ14" s="2959" t="s">
        <v>1151</v>
      </c>
      <c r="CK14" s="3000"/>
      <c r="CL14" s="3038"/>
      <c r="CM14" s="3031"/>
      <c r="CN14" s="3031"/>
      <c r="CO14" s="3031"/>
      <c r="CP14" s="3031"/>
      <c r="CQ14" s="3031"/>
      <c r="CR14" s="3031"/>
      <c r="CS14" s="3031"/>
      <c r="CT14" s="3031"/>
      <c r="CU14" s="3031"/>
      <c r="CV14" s="3031"/>
      <c r="CW14" s="3031"/>
      <c r="CX14" s="3032"/>
      <c r="CY14" s="2960"/>
      <c r="CZ14" s="2861"/>
      <c r="DA14" s="2960"/>
      <c r="DB14" s="2861"/>
      <c r="DC14" s="2960"/>
      <c r="DD14" s="2861"/>
      <c r="DE14" s="2960"/>
      <c r="DF14" s="2861"/>
      <c r="DG14" s="2959" t="s">
        <v>1152</v>
      </c>
      <c r="DH14" s="3000"/>
      <c r="DI14" s="2959" t="s">
        <v>1153</v>
      </c>
      <c r="DJ14" s="3000"/>
      <c r="DK14" s="3038"/>
      <c r="DL14" s="3031"/>
      <c r="DM14" s="3031"/>
      <c r="DN14" s="3031"/>
      <c r="DO14" s="3031"/>
      <c r="DP14" s="3031"/>
      <c r="DQ14" s="3031"/>
      <c r="DR14" s="3031"/>
      <c r="DS14" s="3031"/>
      <c r="DT14" s="3031"/>
      <c r="DU14" s="3031"/>
      <c r="DV14" s="3031"/>
      <c r="DW14" s="3031"/>
      <c r="DX14" s="3031"/>
      <c r="DY14" s="3031"/>
      <c r="DZ14" s="3031"/>
      <c r="EA14" s="3031"/>
      <c r="EB14" s="3031"/>
      <c r="EC14" s="3031"/>
      <c r="ED14" s="3031"/>
      <c r="EE14" s="3031"/>
      <c r="EF14" s="3031"/>
      <c r="EG14" s="3031"/>
      <c r="EH14" s="3031"/>
      <c r="EI14" s="3031"/>
      <c r="EJ14" s="3031"/>
      <c r="EK14" s="3031"/>
      <c r="EL14" s="3031"/>
      <c r="EM14" s="3031"/>
      <c r="EN14" s="3031"/>
      <c r="EO14" s="3031"/>
      <c r="EP14" s="3031"/>
      <c r="EQ14" s="3031"/>
      <c r="ER14" s="3031"/>
      <c r="ES14" s="3031"/>
      <c r="ET14" s="3031"/>
      <c r="EU14" s="3031"/>
      <c r="EV14" s="3031"/>
      <c r="EW14" s="3031"/>
      <c r="EX14" s="3031"/>
      <c r="EY14" s="3031"/>
      <c r="EZ14" s="3031"/>
      <c r="FA14" s="3031"/>
      <c r="FB14" s="3031"/>
      <c r="FC14" s="3031"/>
      <c r="FD14" s="3031"/>
      <c r="FE14" s="3031"/>
      <c r="FF14" s="3031"/>
      <c r="FG14" s="3031"/>
      <c r="FH14" s="3031"/>
      <c r="FI14" s="3031"/>
      <c r="FJ14" s="3031"/>
      <c r="FK14" s="3031"/>
      <c r="FL14" s="3031"/>
      <c r="FM14" s="3031"/>
      <c r="FN14" s="3031"/>
      <c r="FO14" s="3031"/>
      <c r="FP14" s="3031"/>
      <c r="FQ14" s="3031"/>
      <c r="FR14" s="3031"/>
      <c r="FS14" s="3031"/>
      <c r="FT14" s="3031"/>
      <c r="FU14" s="3031"/>
      <c r="FV14" s="3031"/>
      <c r="FW14" s="3036"/>
      <c r="FX14" s="697"/>
      <c r="GC14" s="856">
        <v>36</v>
      </c>
    </row>
    <row r="15" spans="2:185" ht="37.5" customHeight="1">
      <c r="D15" s="868"/>
      <c r="E15" s="867"/>
      <c r="F15" s="2853"/>
      <c r="G15" s="2853"/>
      <c r="H15" s="2853"/>
      <c r="I15" s="2853"/>
      <c r="J15" s="3048"/>
      <c r="K15" s="3048"/>
      <c r="L15" s="3048"/>
      <c r="M15" s="3048"/>
      <c r="N15" s="3048"/>
      <c r="O15" s="2961"/>
      <c r="P15" s="3017"/>
      <c r="Q15" s="2961"/>
      <c r="R15" s="3017"/>
      <c r="S15" s="2961"/>
      <c r="T15" s="3017"/>
      <c r="U15" s="2961"/>
      <c r="V15" s="3017"/>
      <c r="W15" s="2961"/>
      <c r="X15" s="3017"/>
      <c r="Y15" s="2961"/>
      <c r="Z15" s="3017"/>
      <c r="AA15" s="2961"/>
      <c r="AB15" s="3017"/>
      <c r="AC15" s="3031"/>
      <c r="AD15" s="3031"/>
      <c r="AE15" s="3031"/>
      <c r="AF15" s="3031"/>
      <c r="AG15" s="3031"/>
      <c r="AH15" s="3031"/>
      <c r="AI15" s="3031"/>
      <c r="AJ15" s="3031"/>
      <c r="AK15" s="3031"/>
      <c r="AL15" s="3031"/>
      <c r="AM15" s="3031"/>
      <c r="AN15" s="3031"/>
      <c r="AO15" s="3031"/>
      <c r="AP15" s="3031"/>
      <c r="AQ15" s="3031"/>
      <c r="AR15" s="3031"/>
      <c r="AS15" s="3031"/>
      <c r="AT15" s="3031"/>
      <c r="AU15" s="3031"/>
      <c r="AV15" s="3031"/>
      <c r="AW15" s="3031"/>
      <c r="AX15" s="3031"/>
      <c r="AY15" s="3031"/>
      <c r="AZ15" s="3031"/>
      <c r="BA15" s="3031"/>
      <c r="BB15" s="3031"/>
      <c r="BC15" s="3031"/>
      <c r="BD15" s="3031"/>
      <c r="BE15" s="3031"/>
      <c r="BF15" s="3031"/>
      <c r="BG15" s="3031"/>
      <c r="BH15" s="3031"/>
      <c r="BI15" s="3031"/>
      <c r="BJ15" s="3031"/>
      <c r="BK15" s="3031"/>
      <c r="BL15" s="3031"/>
      <c r="BM15" s="3031"/>
      <c r="BN15" s="3031"/>
      <c r="BO15" s="3031"/>
      <c r="BP15" s="3031"/>
      <c r="BQ15" s="3031"/>
      <c r="BR15" s="3031"/>
      <c r="BS15" s="3032"/>
      <c r="BT15" s="2961"/>
      <c r="BU15" s="3017"/>
      <c r="BV15" s="2961"/>
      <c r="BW15" s="3017"/>
      <c r="BX15" s="2961"/>
      <c r="BY15" s="3017"/>
      <c r="BZ15" s="2961"/>
      <c r="CA15" s="3017"/>
      <c r="CB15" s="2961"/>
      <c r="CC15" s="3017"/>
      <c r="CD15" s="2961"/>
      <c r="CE15" s="3017"/>
      <c r="CF15" s="2961"/>
      <c r="CG15" s="3017"/>
      <c r="CH15" s="2961"/>
      <c r="CI15" s="3017"/>
      <c r="CJ15" s="2961"/>
      <c r="CK15" s="3017"/>
      <c r="CL15" s="3038"/>
      <c r="CM15" s="3031"/>
      <c r="CN15" s="3031"/>
      <c r="CO15" s="3031"/>
      <c r="CP15" s="3031"/>
      <c r="CQ15" s="3031"/>
      <c r="CR15" s="3031"/>
      <c r="CS15" s="3031"/>
      <c r="CT15" s="3031"/>
      <c r="CU15" s="3031"/>
      <c r="CV15" s="3031"/>
      <c r="CW15" s="3031"/>
      <c r="CX15" s="3032"/>
      <c r="CY15" s="2961"/>
      <c r="CZ15" s="3017"/>
      <c r="DA15" s="2961"/>
      <c r="DB15" s="3017"/>
      <c r="DC15" s="2961"/>
      <c r="DD15" s="3017"/>
      <c r="DE15" s="2961"/>
      <c r="DF15" s="3017"/>
      <c r="DG15" s="2961"/>
      <c r="DH15" s="3017"/>
      <c r="DI15" s="2961"/>
      <c r="DJ15" s="3017"/>
      <c r="DK15" s="3038"/>
      <c r="DL15" s="3031"/>
      <c r="DM15" s="3031"/>
      <c r="DN15" s="3031"/>
      <c r="DO15" s="3031"/>
      <c r="DP15" s="3031"/>
      <c r="DQ15" s="3031"/>
      <c r="DR15" s="3031"/>
      <c r="DS15" s="3031"/>
      <c r="DT15" s="3031"/>
      <c r="DU15" s="3031"/>
      <c r="DV15" s="3031"/>
      <c r="DW15" s="3031"/>
      <c r="DX15" s="3031"/>
      <c r="DY15" s="3031"/>
      <c r="DZ15" s="3031"/>
      <c r="EA15" s="3031"/>
      <c r="EB15" s="3031"/>
      <c r="EC15" s="3031"/>
      <c r="ED15" s="3031"/>
      <c r="EE15" s="3031"/>
      <c r="EF15" s="3031"/>
      <c r="EG15" s="3031"/>
      <c r="EH15" s="3031"/>
      <c r="EI15" s="3031"/>
      <c r="EJ15" s="3031"/>
      <c r="EK15" s="3031"/>
      <c r="EL15" s="3031"/>
      <c r="EM15" s="3031"/>
      <c r="EN15" s="3031"/>
      <c r="EO15" s="3031"/>
      <c r="EP15" s="3031"/>
      <c r="EQ15" s="3031"/>
      <c r="ER15" s="3031"/>
      <c r="ES15" s="3031"/>
      <c r="ET15" s="3031"/>
      <c r="EU15" s="3031"/>
      <c r="EV15" s="3031"/>
      <c r="EW15" s="3031"/>
      <c r="EX15" s="3031"/>
      <c r="EY15" s="3031"/>
      <c r="EZ15" s="3031"/>
      <c r="FA15" s="3031"/>
      <c r="FB15" s="3031"/>
      <c r="FC15" s="3031"/>
      <c r="FD15" s="3031"/>
      <c r="FE15" s="3031"/>
      <c r="FF15" s="3031"/>
      <c r="FG15" s="3031"/>
      <c r="FH15" s="3031"/>
      <c r="FI15" s="3031"/>
      <c r="FJ15" s="3031"/>
      <c r="FK15" s="3031"/>
      <c r="FL15" s="3031"/>
      <c r="FM15" s="3031"/>
      <c r="FN15" s="3031"/>
      <c r="FO15" s="3031"/>
      <c r="FP15" s="3031"/>
      <c r="FQ15" s="3031"/>
      <c r="FR15" s="3031"/>
      <c r="FS15" s="3031"/>
      <c r="FT15" s="3031"/>
      <c r="FU15" s="3031"/>
      <c r="FV15" s="3031"/>
      <c r="FW15" s="3036"/>
      <c r="FX15" s="697"/>
      <c r="GC15" s="856">
        <v>36</v>
      </c>
    </row>
    <row r="16" spans="2:185" ht="12.75" customHeight="1">
      <c r="D16" s="868"/>
      <c r="E16" s="867"/>
      <c r="F16" s="2853"/>
      <c r="G16" s="2853"/>
      <c r="H16" s="2853"/>
      <c r="I16" s="2853"/>
      <c r="J16" s="3048"/>
      <c r="K16" s="3048"/>
      <c r="L16" s="3048"/>
      <c r="M16" s="3048"/>
      <c r="N16" s="3048"/>
      <c r="O16" s="2998" t="s">
        <v>871</v>
      </c>
      <c r="P16" s="3030"/>
      <c r="Q16" s="2998" t="s">
        <v>873</v>
      </c>
      <c r="R16" s="3030"/>
      <c r="S16" s="2998" t="s">
        <v>877</v>
      </c>
      <c r="T16" s="3030"/>
      <c r="U16" s="2998" t="s">
        <v>882</v>
      </c>
      <c r="V16" s="3030"/>
      <c r="W16" s="2998" t="s">
        <v>885</v>
      </c>
      <c r="X16" s="3030"/>
      <c r="Y16" s="2998" t="s">
        <v>889</v>
      </c>
      <c r="Z16" s="3030"/>
      <c r="AA16" s="2998" t="s">
        <v>892</v>
      </c>
      <c r="AB16" s="3030"/>
      <c r="AC16" s="3031"/>
      <c r="AD16" s="3031"/>
      <c r="AE16" s="3031"/>
      <c r="AF16" s="3031"/>
      <c r="AG16" s="3031"/>
      <c r="AH16" s="3031"/>
      <c r="AI16" s="3031"/>
      <c r="AJ16" s="3031"/>
      <c r="AK16" s="3031"/>
      <c r="AL16" s="3031"/>
      <c r="AM16" s="3031"/>
      <c r="AN16" s="3031"/>
      <c r="AO16" s="3031"/>
      <c r="AP16" s="3031"/>
      <c r="AQ16" s="3031"/>
      <c r="AR16" s="3031"/>
      <c r="AS16" s="3031"/>
      <c r="AT16" s="3031"/>
      <c r="AU16" s="3031"/>
      <c r="AV16" s="3031"/>
      <c r="AW16" s="3031"/>
      <c r="AX16" s="3031"/>
      <c r="AY16" s="3031"/>
      <c r="AZ16" s="3031"/>
      <c r="BA16" s="3031"/>
      <c r="BB16" s="3031"/>
      <c r="BC16" s="3031"/>
      <c r="BD16" s="3031"/>
      <c r="BE16" s="3031"/>
      <c r="BF16" s="3031"/>
      <c r="BG16" s="3031"/>
      <c r="BH16" s="3031"/>
      <c r="BI16" s="3031"/>
      <c r="BJ16" s="3031"/>
      <c r="BK16" s="3031"/>
      <c r="BL16" s="3031"/>
      <c r="BM16" s="3031"/>
      <c r="BN16" s="3031"/>
      <c r="BO16" s="3031"/>
      <c r="BP16" s="3031"/>
      <c r="BQ16" s="3031"/>
      <c r="BR16" s="3031"/>
      <c r="BS16" s="3032"/>
      <c r="BT16" s="2998" t="s">
        <v>604</v>
      </c>
      <c r="BU16" s="3030"/>
      <c r="BV16" s="2998" t="s">
        <v>604</v>
      </c>
      <c r="BW16" s="3030"/>
      <c r="BX16" s="2998" t="s">
        <v>604</v>
      </c>
      <c r="BY16" s="3030"/>
      <c r="BZ16" s="2998" t="s">
        <v>604</v>
      </c>
      <c r="CA16" s="3030"/>
      <c r="CB16" s="2998" t="s">
        <v>1154</v>
      </c>
      <c r="CC16" s="3030"/>
      <c r="CD16" s="2998" t="s">
        <v>604</v>
      </c>
      <c r="CE16" s="3030"/>
      <c r="CF16" s="2998" t="s">
        <v>1155</v>
      </c>
      <c r="CG16" s="3030"/>
      <c r="CH16" s="2998" t="s">
        <v>1156</v>
      </c>
      <c r="CI16" s="3030"/>
      <c r="CJ16" s="2998" t="s">
        <v>1156</v>
      </c>
      <c r="CK16" s="3030"/>
      <c r="CL16" s="3038"/>
      <c r="CM16" s="3031"/>
      <c r="CN16" s="3031"/>
      <c r="CO16" s="3031"/>
      <c r="CP16" s="3031"/>
      <c r="CQ16" s="3031"/>
      <c r="CR16" s="3031"/>
      <c r="CS16" s="3031"/>
      <c r="CT16" s="3031"/>
      <c r="CU16" s="3031"/>
      <c r="CV16" s="3031"/>
      <c r="CW16" s="3031"/>
      <c r="CX16" s="3032"/>
      <c r="CY16" s="2959" t="s">
        <v>604</v>
      </c>
      <c r="CZ16" s="3000"/>
      <c r="DA16" s="2959" t="s">
        <v>604</v>
      </c>
      <c r="DB16" s="3000"/>
      <c r="DC16" s="2959" t="s">
        <v>604</v>
      </c>
      <c r="DD16" s="3000"/>
      <c r="DE16" s="2998" t="s">
        <v>1154</v>
      </c>
      <c r="DF16" s="3030"/>
      <c r="DG16" s="2998" t="s">
        <v>1157</v>
      </c>
      <c r="DH16" s="3030"/>
      <c r="DI16" s="2998" t="s">
        <v>1157</v>
      </c>
      <c r="DJ16" s="3030"/>
      <c r="DK16" s="3038"/>
      <c r="DL16" s="3031"/>
      <c r="DM16" s="3031"/>
      <c r="DN16" s="3031"/>
      <c r="DO16" s="3031"/>
      <c r="DP16" s="3031"/>
      <c r="DQ16" s="3031"/>
      <c r="DR16" s="3031"/>
      <c r="DS16" s="3031"/>
      <c r="DT16" s="3031"/>
      <c r="DU16" s="3031"/>
      <c r="DV16" s="3031"/>
      <c r="DW16" s="3031"/>
      <c r="DX16" s="3031"/>
      <c r="DY16" s="3031"/>
      <c r="DZ16" s="3031"/>
      <c r="EA16" s="3031"/>
      <c r="EB16" s="3031"/>
      <c r="EC16" s="3031"/>
      <c r="ED16" s="3031"/>
      <c r="EE16" s="3031"/>
      <c r="EF16" s="3031"/>
      <c r="EG16" s="3031"/>
      <c r="EH16" s="3031"/>
      <c r="EI16" s="3031"/>
      <c r="EJ16" s="3031"/>
      <c r="EK16" s="3031"/>
      <c r="EL16" s="3031"/>
      <c r="EM16" s="3031"/>
      <c r="EN16" s="3031"/>
      <c r="EO16" s="3031"/>
      <c r="EP16" s="3031"/>
      <c r="EQ16" s="3031"/>
      <c r="ER16" s="3031"/>
      <c r="ES16" s="3031"/>
      <c r="ET16" s="3031"/>
      <c r="EU16" s="3031"/>
      <c r="EV16" s="3031"/>
      <c r="EW16" s="3031"/>
      <c r="EX16" s="3031"/>
      <c r="EY16" s="3031"/>
      <c r="EZ16" s="3031"/>
      <c r="FA16" s="3031"/>
      <c r="FB16" s="3031"/>
      <c r="FC16" s="3031"/>
      <c r="FD16" s="3031"/>
      <c r="FE16" s="3031"/>
      <c r="FF16" s="3031"/>
      <c r="FG16" s="3031"/>
      <c r="FH16" s="3031"/>
      <c r="FI16" s="3031"/>
      <c r="FJ16" s="3031"/>
      <c r="FK16" s="3031"/>
      <c r="FL16" s="3031"/>
      <c r="FM16" s="3031"/>
      <c r="FN16" s="3031"/>
      <c r="FO16" s="3031"/>
      <c r="FP16" s="3031"/>
      <c r="FQ16" s="3031"/>
      <c r="FR16" s="3031"/>
      <c r="FS16" s="3031"/>
      <c r="FT16" s="3031"/>
      <c r="FU16" s="3031"/>
      <c r="FV16" s="3031"/>
      <c r="FW16" s="3036"/>
      <c r="FX16" s="697"/>
      <c r="GC16" s="856">
        <v>12</v>
      </c>
    </row>
    <row r="17" spans="1:185" ht="15.75" customHeight="1">
      <c r="E17" s="867"/>
      <c r="F17" s="2853"/>
      <c r="G17" s="2853"/>
      <c r="H17" s="2853"/>
      <c r="I17" s="2853"/>
      <c r="J17" s="3048"/>
      <c r="K17" s="3048"/>
      <c r="L17" s="3048"/>
      <c r="M17" s="3048"/>
      <c r="N17" s="3048"/>
      <c r="O17" s="1118" t="s">
        <v>1158</v>
      </c>
      <c r="P17" s="1118" t="s">
        <v>1159</v>
      </c>
      <c r="Q17" s="1118" t="s">
        <v>1158</v>
      </c>
      <c r="R17" s="1118" t="s">
        <v>1159</v>
      </c>
      <c r="S17" s="1118" t="s">
        <v>1158</v>
      </c>
      <c r="T17" s="1118" t="s">
        <v>1159</v>
      </c>
      <c r="U17" s="1118" t="s">
        <v>1158</v>
      </c>
      <c r="V17" s="1118" t="s">
        <v>1159</v>
      </c>
      <c r="W17" s="1118" t="s">
        <v>1158</v>
      </c>
      <c r="X17" s="1118" t="s">
        <v>1159</v>
      </c>
      <c r="Y17" s="1118" t="s">
        <v>1158</v>
      </c>
      <c r="Z17" s="1118" t="s">
        <v>1159</v>
      </c>
      <c r="AA17" s="1118" t="s">
        <v>1158</v>
      </c>
      <c r="AB17" s="1118" t="s">
        <v>1159</v>
      </c>
      <c r="AC17" s="3031"/>
      <c r="AD17" s="3031"/>
      <c r="AE17" s="3031"/>
      <c r="AF17" s="3031"/>
      <c r="AG17" s="3031"/>
      <c r="AH17" s="3031"/>
      <c r="AI17" s="3031"/>
      <c r="AJ17" s="3031"/>
      <c r="AK17" s="3031"/>
      <c r="AL17" s="3031"/>
      <c r="AM17" s="3031"/>
      <c r="AN17" s="3031"/>
      <c r="AO17" s="3031"/>
      <c r="AP17" s="3031"/>
      <c r="AQ17" s="3031"/>
      <c r="AR17" s="3031"/>
      <c r="AS17" s="3031"/>
      <c r="AT17" s="3031"/>
      <c r="AU17" s="3031"/>
      <c r="AV17" s="3031"/>
      <c r="AW17" s="3031"/>
      <c r="AX17" s="3031"/>
      <c r="AY17" s="3031"/>
      <c r="AZ17" s="3031"/>
      <c r="BA17" s="3031"/>
      <c r="BB17" s="3031"/>
      <c r="BC17" s="3031"/>
      <c r="BD17" s="3031"/>
      <c r="BE17" s="3031"/>
      <c r="BF17" s="3031"/>
      <c r="BG17" s="3031"/>
      <c r="BH17" s="3031"/>
      <c r="BI17" s="3031"/>
      <c r="BJ17" s="3031"/>
      <c r="BK17" s="3031"/>
      <c r="BL17" s="3031"/>
      <c r="BM17" s="3031"/>
      <c r="BN17" s="3031"/>
      <c r="BO17" s="3031"/>
      <c r="BP17" s="3031"/>
      <c r="BQ17" s="3031"/>
      <c r="BR17" s="3031"/>
      <c r="BS17" s="3032"/>
      <c r="BT17" s="1118" t="s">
        <v>1158</v>
      </c>
      <c r="BU17" s="1118" t="s">
        <v>1159</v>
      </c>
      <c r="BV17" s="1118" t="s">
        <v>1158</v>
      </c>
      <c r="BW17" s="1118" t="s">
        <v>1159</v>
      </c>
      <c r="BX17" s="1118" t="s">
        <v>1158</v>
      </c>
      <c r="BY17" s="1118" t="s">
        <v>1159</v>
      </c>
      <c r="BZ17" s="1118" t="s">
        <v>1158</v>
      </c>
      <c r="CA17" s="1118" t="s">
        <v>1159</v>
      </c>
      <c r="CB17" s="1118" t="s">
        <v>1158</v>
      </c>
      <c r="CC17" s="1118" t="s">
        <v>1159</v>
      </c>
      <c r="CD17" s="1118" t="s">
        <v>1158</v>
      </c>
      <c r="CE17" s="1118" t="s">
        <v>1159</v>
      </c>
      <c r="CF17" s="1118" t="s">
        <v>1158</v>
      </c>
      <c r="CG17" s="1118" t="s">
        <v>1159</v>
      </c>
      <c r="CH17" s="1118" t="s">
        <v>1158</v>
      </c>
      <c r="CI17" s="1118" t="s">
        <v>1159</v>
      </c>
      <c r="CJ17" s="1118" t="s">
        <v>1158</v>
      </c>
      <c r="CK17" s="1118" t="s">
        <v>1159</v>
      </c>
      <c r="CL17" s="3038"/>
      <c r="CM17" s="3031"/>
      <c r="CN17" s="3031"/>
      <c r="CO17" s="3031"/>
      <c r="CP17" s="3031"/>
      <c r="CQ17" s="3031"/>
      <c r="CR17" s="3031"/>
      <c r="CS17" s="3031"/>
      <c r="CT17" s="3031"/>
      <c r="CU17" s="3031"/>
      <c r="CV17" s="3031"/>
      <c r="CW17" s="3031"/>
      <c r="CX17" s="3032"/>
      <c r="CY17" s="1118" t="s">
        <v>1158</v>
      </c>
      <c r="CZ17" s="1118" t="s">
        <v>1159</v>
      </c>
      <c r="DA17" s="1118" t="s">
        <v>1158</v>
      </c>
      <c r="DB17" s="1118" t="s">
        <v>1159</v>
      </c>
      <c r="DC17" s="1118" t="s">
        <v>1158</v>
      </c>
      <c r="DD17" s="1118" t="s">
        <v>1159</v>
      </c>
      <c r="DE17" s="1118" t="s">
        <v>1158</v>
      </c>
      <c r="DF17" s="1118" t="s">
        <v>1159</v>
      </c>
      <c r="DG17" s="1118" t="s">
        <v>1158</v>
      </c>
      <c r="DH17" s="1118" t="s">
        <v>1159</v>
      </c>
      <c r="DI17" s="1118" t="s">
        <v>1158</v>
      </c>
      <c r="DJ17" s="1118" t="s">
        <v>1159</v>
      </c>
      <c r="DK17" s="3038"/>
      <c r="DL17" s="3031"/>
      <c r="DM17" s="3031"/>
      <c r="DN17" s="3031"/>
      <c r="DO17" s="3031"/>
      <c r="DP17" s="3031"/>
      <c r="DQ17" s="3031"/>
      <c r="DR17" s="3031"/>
      <c r="DS17" s="3031"/>
      <c r="DT17" s="3031"/>
      <c r="DU17" s="3031"/>
      <c r="DV17" s="3031"/>
      <c r="DW17" s="3031"/>
      <c r="DX17" s="3031"/>
      <c r="DY17" s="3031"/>
      <c r="DZ17" s="3031"/>
      <c r="EA17" s="3031"/>
      <c r="EB17" s="3031"/>
      <c r="EC17" s="3031"/>
      <c r="ED17" s="3031"/>
      <c r="EE17" s="3031"/>
      <c r="EF17" s="3031"/>
      <c r="EG17" s="3031"/>
      <c r="EH17" s="3031"/>
      <c r="EI17" s="3031"/>
      <c r="EJ17" s="3031"/>
      <c r="EK17" s="3031"/>
      <c r="EL17" s="3031"/>
      <c r="EM17" s="3031"/>
      <c r="EN17" s="3031"/>
      <c r="EO17" s="3031"/>
      <c r="EP17" s="3031"/>
      <c r="EQ17" s="3031"/>
      <c r="ER17" s="3031"/>
      <c r="ES17" s="3031"/>
      <c r="ET17" s="3031"/>
      <c r="EU17" s="3031"/>
      <c r="EV17" s="3031"/>
      <c r="EW17" s="3031"/>
      <c r="EX17" s="3031"/>
      <c r="EY17" s="3031"/>
      <c r="EZ17" s="3031"/>
      <c r="FA17" s="3031"/>
      <c r="FB17" s="3031"/>
      <c r="FC17" s="3031"/>
      <c r="FD17" s="3031"/>
      <c r="FE17" s="3031"/>
      <c r="FF17" s="3031"/>
      <c r="FG17" s="3031"/>
      <c r="FH17" s="3031"/>
      <c r="FI17" s="3031"/>
      <c r="FJ17" s="3031"/>
      <c r="FK17" s="3031"/>
      <c r="FL17" s="3031"/>
      <c r="FM17" s="3031"/>
      <c r="FN17" s="3031"/>
      <c r="FO17" s="3031"/>
      <c r="FP17" s="3031"/>
      <c r="FQ17" s="3031"/>
      <c r="FR17" s="3031"/>
      <c r="FS17" s="3031"/>
      <c r="FT17" s="3031"/>
      <c r="FU17" s="3031"/>
      <c r="FV17" s="3031"/>
      <c r="FW17" s="3037"/>
      <c r="FX17" s="697"/>
      <c r="GC17" s="856">
        <v>15</v>
      </c>
    </row>
    <row r="18" spans="1:185" s="855" customFormat="1" ht="12" hidden="1" customHeight="1">
      <c r="B18" s="853"/>
      <c r="E18" s="869"/>
      <c r="F18" s="1119"/>
      <c r="G18" s="1119"/>
      <c r="H18" s="1119"/>
      <c r="I18" s="1119"/>
      <c r="J18" s="1120"/>
      <c r="K18" s="1120"/>
      <c r="L18" s="1120"/>
      <c r="M18" s="1120"/>
      <c r="N18" s="1120"/>
      <c r="O18" s="1119"/>
      <c r="P18" s="1119"/>
      <c r="Q18" s="1119"/>
      <c r="R18" s="1119"/>
      <c r="S18" s="1119"/>
      <c r="T18" s="1119"/>
      <c r="U18" s="1121"/>
      <c r="V18" s="1121"/>
      <c r="W18" s="1121"/>
      <c r="X18" s="1121"/>
      <c r="Y18" s="1121"/>
      <c r="Z18" s="1121"/>
      <c r="AA18" s="1121"/>
      <c r="AB18" s="1119"/>
      <c r="AC18" s="1120"/>
      <c r="AD18" s="1120"/>
      <c r="AE18" s="1120"/>
      <c r="AF18" s="1120"/>
      <c r="AG18" s="1120"/>
      <c r="AH18" s="1120"/>
      <c r="AI18" s="1120"/>
      <c r="AJ18" s="1120"/>
      <c r="AK18" s="1120"/>
      <c r="AL18" s="1120"/>
      <c r="AM18" s="1120"/>
      <c r="AN18" s="1120"/>
      <c r="AO18" s="1120"/>
      <c r="AP18" s="1120"/>
      <c r="AQ18" s="1120"/>
      <c r="AR18" s="1120"/>
      <c r="AS18" s="1120"/>
      <c r="AT18" s="1120"/>
      <c r="AU18" s="1120"/>
      <c r="AV18" s="1120"/>
      <c r="AW18" s="1120"/>
      <c r="AX18" s="1120"/>
      <c r="AY18" s="1120"/>
      <c r="AZ18" s="1120"/>
      <c r="BA18" s="1120"/>
      <c r="BB18" s="1120"/>
      <c r="BC18" s="1120"/>
      <c r="BD18" s="1120"/>
      <c r="BE18" s="1120"/>
      <c r="BF18" s="1120"/>
      <c r="BG18" s="1120"/>
      <c r="BH18" s="1120"/>
      <c r="BI18" s="1120"/>
      <c r="BJ18" s="1120"/>
      <c r="BK18" s="1120"/>
      <c r="BL18" s="1120"/>
      <c r="BM18" s="1120"/>
      <c r="BN18" s="1120"/>
      <c r="BO18" s="1120"/>
      <c r="BP18" s="1120"/>
      <c r="BQ18" s="1120"/>
      <c r="BR18" s="1120"/>
      <c r="BS18" s="1120"/>
      <c r="BT18" s="1122"/>
      <c r="BU18" s="1122"/>
      <c r="BV18" s="1122"/>
      <c r="BW18" s="1122"/>
      <c r="BX18" s="1122"/>
      <c r="BY18" s="1122"/>
      <c r="BZ18" s="1122"/>
      <c r="CA18" s="1122"/>
      <c r="CB18" s="1122"/>
      <c r="CC18" s="1122"/>
      <c r="CD18" s="1122"/>
      <c r="CE18" s="1122"/>
      <c r="CF18" s="1122"/>
      <c r="CG18" s="1122"/>
      <c r="CH18" s="1122"/>
      <c r="CI18" s="1122"/>
      <c r="CJ18" s="1122"/>
      <c r="CK18" s="1122"/>
      <c r="CL18" s="1120"/>
      <c r="CM18" s="1120"/>
      <c r="CN18" s="1120"/>
      <c r="CO18" s="1120"/>
      <c r="CP18" s="1120"/>
      <c r="CQ18" s="1120"/>
      <c r="CR18" s="1120"/>
      <c r="CS18" s="1120"/>
      <c r="CT18" s="1120"/>
      <c r="CU18" s="1120"/>
      <c r="CV18" s="1120"/>
      <c r="CW18" s="1120"/>
      <c r="CX18" s="1120"/>
      <c r="CY18" s="1122"/>
      <c r="CZ18" s="1122"/>
      <c r="DA18" s="1122"/>
      <c r="DB18" s="1122"/>
      <c r="DC18" s="1122"/>
      <c r="DD18" s="1122"/>
      <c r="DE18" s="1122"/>
      <c r="DF18" s="1122"/>
      <c r="DG18" s="1122"/>
      <c r="DH18" s="1122"/>
      <c r="DI18" s="1122"/>
      <c r="DJ18" s="1122"/>
      <c r="DK18" s="1120"/>
      <c r="DL18" s="1120"/>
      <c r="DM18" s="1120"/>
      <c r="DN18" s="1120"/>
      <c r="DO18" s="1120"/>
      <c r="DP18" s="1120"/>
      <c r="DQ18" s="1120"/>
      <c r="DR18" s="1120"/>
      <c r="DS18" s="1120"/>
      <c r="DT18" s="1120"/>
      <c r="DU18" s="1120"/>
      <c r="DV18" s="1120"/>
      <c r="DW18" s="1120"/>
      <c r="DX18" s="1120"/>
      <c r="DY18" s="1120"/>
      <c r="DZ18" s="1120"/>
      <c r="EA18" s="1120"/>
      <c r="EB18" s="1120"/>
      <c r="EC18" s="1120"/>
      <c r="ED18" s="1120"/>
      <c r="EE18" s="1120"/>
      <c r="EF18" s="1120"/>
      <c r="EG18" s="1120"/>
      <c r="EH18" s="1120"/>
      <c r="EI18" s="1120"/>
      <c r="EJ18" s="1120"/>
      <c r="EK18" s="1120"/>
      <c r="EL18" s="1120"/>
      <c r="EM18" s="1120"/>
      <c r="EN18" s="1120"/>
      <c r="EO18" s="1120"/>
      <c r="EP18" s="1120"/>
      <c r="EQ18" s="1120"/>
      <c r="ER18" s="1120"/>
      <c r="ES18" s="1120"/>
      <c r="ET18" s="1120"/>
      <c r="EU18" s="1120"/>
      <c r="EV18" s="1120"/>
      <c r="EW18" s="1120"/>
      <c r="EX18" s="1120"/>
      <c r="EY18" s="1120"/>
      <c r="EZ18" s="1120"/>
      <c r="FA18" s="1120"/>
      <c r="FB18" s="1120"/>
      <c r="FC18" s="1120"/>
      <c r="FD18" s="1120"/>
      <c r="FE18" s="1120"/>
      <c r="FF18" s="1120"/>
      <c r="FG18" s="1120"/>
      <c r="FH18" s="1120"/>
      <c r="FI18" s="1120"/>
      <c r="FJ18" s="1120"/>
      <c r="FK18" s="1120"/>
      <c r="FL18" s="1120"/>
      <c r="FM18" s="1120"/>
      <c r="FN18" s="1120"/>
      <c r="FO18" s="1120"/>
      <c r="FP18" s="1120"/>
      <c r="FQ18" s="1120"/>
      <c r="FR18" s="1120"/>
      <c r="FS18" s="1120"/>
      <c r="FT18" s="1120"/>
      <c r="FU18" s="1120"/>
      <c r="FV18" s="1120"/>
      <c r="FW18" s="1119"/>
      <c r="FX18" s="1123"/>
      <c r="GC18" s="854">
        <v>0</v>
      </c>
    </row>
    <row r="19" spans="1:185" s="855" customFormat="1" ht="11.25" hidden="1" customHeight="1">
      <c r="B19" s="853"/>
      <c r="E19" s="869"/>
      <c r="F19" s="1119"/>
      <c r="G19" s="1119"/>
      <c r="H19" s="1119"/>
      <c r="I19" s="1119"/>
      <c r="J19" s="1119"/>
      <c r="K19" s="1119"/>
      <c r="L19" s="1119"/>
      <c r="M19" s="1119"/>
      <c r="N19" s="1119"/>
      <c r="O19" s="1119"/>
      <c r="P19" s="1119"/>
      <c r="Q19" s="1119"/>
      <c r="R19" s="1119"/>
      <c r="S19" s="1119"/>
      <c r="T19" s="1119"/>
      <c r="U19" s="1121"/>
      <c r="V19" s="1121"/>
      <c r="W19" s="1121"/>
      <c r="X19" s="1121"/>
      <c r="Y19" s="1121"/>
      <c r="Z19" s="1121"/>
      <c r="AA19" s="1121"/>
      <c r="AB19" s="1119"/>
      <c r="AC19" s="1119"/>
      <c r="AD19" s="1119"/>
      <c r="AE19" s="1119"/>
      <c r="AF19" s="1119"/>
      <c r="AG19" s="1119"/>
      <c r="AH19" s="1119"/>
      <c r="AI19" s="1119"/>
      <c r="AJ19" s="1119"/>
      <c r="AK19" s="1119"/>
      <c r="AL19" s="1119"/>
      <c r="AM19" s="1119"/>
      <c r="AN19" s="1119"/>
      <c r="AO19" s="1119"/>
      <c r="AP19" s="1119"/>
      <c r="AQ19" s="1119"/>
      <c r="AR19" s="1119"/>
      <c r="AS19" s="1119"/>
      <c r="AT19" s="1119"/>
      <c r="AU19" s="1119"/>
      <c r="AV19" s="1119"/>
      <c r="AW19" s="1119"/>
      <c r="AX19" s="1119"/>
      <c r="AY19" s="1119"/>
      <c r="AZ19" s="1119"/>
      <c r="BA19" s="1119"/>
      <c r="BB19" s="1119"/>
      <c r="BC19" s="1119"/>
      <c r="BD19" s="1119"/>
      <c r="BE19" s="1119"/>
      <c r="BF19" s="1119"/>
      <c r="BG19" s="1119"/>
      <c r="BH19" s="1119"/>
      <c r="BI19" s="1119"/>
      <c r="BJ19" s="1119"/>
      <c r="BK19" s="1119"/>
      <c r="BL19" s="1119"/>
      <c r="BM19" s="1119"/>
      <c r="BN19" s="1119"/>
      <c r="BO19" s="1119"/>
      <c r="BP19" s="1119"/>
      <c r="BQ19" s="1119"/>
      <c r="BR19" s="1119"/>
      <c r="BS19" s="1119"/>
      <c r="BT19" s="1119"/>
      <c r="BU19" s="1119"/>
      <c r="BV19" s="1119"/>
      <c r="BW19" s="1119"/>
      <c r="BX19" s="1119"/>
      <c r="BY19" s="1119"/>
      <c r="BZ19" s="1119"/>
      <c r="CA19" s="1119"/>
      <c r="CB19" s="1119"/>
      <c r="CC19" s="1119"/>
      <c r="CD19" s="1119"/>
      <c r="CE19" s="1119"/>
      <c r="CF19" s="1119"/>
      <c r="CG19" s="1119"/>
      <c r="CH19" s="1119"/>
      <c r="CI19" s="1119"/>
      <c r="CJ19" s="1119"/>
      <c r="CK19" s="1119"/>
      <c r="CL19" s="1119"/>
      <c r="CM19" s="1119"/>
      <c r="CN19" s="1119"/>
      <c r="CO19" s="1119"/>
      <c r="CP19" s="1119"/>
      <c r="CQ19" s="1119"/>
      <c r="CR19" s="1119"/>
      <c r="CS19" s="1119"/>
      <c r="CT19" s="1119"/>
      <c r="CU19" s="1119"/>
      <c r="CV19" s="1119"/>
      <c r="CW19" s="1119"/>
      <c r="CX19" s="1119"/>
      <c r="CY19" s="1119"/>
      <c r="CZ19" s="1119"/>
      <c r="DA19" s="1119"/>
      <c r="DB19" s="1119"/>
      <c r="DC19" s="1119"/>
      <c r="DD19" s="1119"/>
      <c r="DE19" s="1119"/>
      <c r="DF19" s="1119"/>
      <c r="DG19" s="1119"/>
      <c r="DH19" s="1119"/>
      <c r="DI19" s="1119"/>
      <c r="DJ19" s="1119"/>
      <c r="DK19" s="1119"/>
      <c r="DL19" s="1119"/>
      <c r="DM19" s="1119"/>
      <c r="DN19" s="1119"/>
      <c r="DO19" s="1119"/>
      <c r="DP19" s="1119"/>
      <c r="DQ19" s="1119"/>
      <c r="DR19" s="1119"/>
      <c r="DS19" s="1119"/>
      <c r="DT19" s="1119"/>
      <c r="DU19" s="1119"/>
      <c r="DV19" s="1119"/>
      <c r="DW19" s="1119"/>
      <c r="DX19" s="1119"/>
      <c r="DY19" s="1119"/>
      <c r="DZ19" s="1119"/>
      <c r="EA19" s="1119"/>
      <c r="EB19" s="1119"/>
      <c r="EC19" s="1119"/>
      <c r="ED19" s="1119"/>
      <c r="EE19" s="1119"/>
      <c r="EF19" s="1119"/>
      <c r="EG19" s="1119"/>
      <c r="EH19" s="1119"/>
      <c r="EI19" s="1119"/>
      <c r="EJ19" s="1119"/>
      <c r="EK19" s="1119"/>
      <c r="EL19" s="1119"/>
      <c r="EM19" s="1119"/>
      <c r="EN19" s="1119"/>
      <c r="EO19" s="1119"/>
      <c r="EP19" s="1119"/>
      <c r="EQ19" s="1119"/>
      <c r="ER19" s="1119"/>
      <c r="ES19" s="1119"/>
      <c r="ET19" s="1119"/>
      <c r="EU19" s="1119"/>
      <c r="EV19" s="1119"/>
      <c r="EW19" s="1119"/>
      <c r="EX19" s="1119"/>
      <c r="EY19" s="1119"/>
      <c r="EZ19" s="1119"/>
      <c r="FA19" s="1119"/>
      <c r="FB19" s="1119"/>
      <c r="FC19" s="1119"/>
      <c r="FD19" s="1119"/>
      <c r="FE19" s="1119"/>
      <c r="FF19" s="1119"/>
      <c r="FG19" s="1119"/>
      <c r="FH19" s="1119"/>
      <c r="FI19" s="1119"/>
      <c r="FJ19" s="1119"/>
      <c r="FK19" s="1119"/>
      <c r="FL19" s="1119"/>
      <c r="FM19" s="1119"/>
      <c r="FN19" s="1119"/>
      <c r="FO19" s="1119"/>
      <c r="FP19" s="1119"/>
      <c r="FQ19" s="1119"/>
      <c r="FR19" s="1119"/>
      <c r="FS19" s="1119"/>
      <c r="FT19" s="1119"/>
      <c r="FU19" s="1119"/>
      <c r="FV19" s="1119"/>
      <c r="FW19" s="1119"/>
      <c r="FX19" s="1123"/>
      <c r="GC19" s="854">
        <v>0</v>
      </c>
    </row>
    <row r="20" spans="1:185" s="855" customFormat="1" ht="11.25" hidden="1" customHeight="1">
      <c r="B20" s="870"/>
      <c r="D20" s="854"/>
      <c r="E20" s="869"/>
      <c r="F20" s="1124" t="s">
        <v>421</v>
      </c>
      <c r="G20" s="1125"/>
      <c r="H20" s="1126"/>
      <c r="I20" s="1126"/>
      <c r="J20" s="1126"/>
      <c r="K20" s="1126"/>
      <c r="L20" s="1126"/>
      <c r="M20" s="1126"/>
      <c r="N20" s="1126"/>
      <c r="O20" s="1125"/>
      <c r="P20" s="1125"/>
      <c r="Q20" s="1125"/>
      <c r="R20" s="1125"/>
      <c r="S20" s="1125"/>
      <c r="T20" s="1125"/>
      <c r="U20" s="1127"/>
      <c r="V20" s="1127"/>
      <c r="W20" s="1127"/>
      <c r="X20" s="1127"/>
      <c r="Y20" s="1127"/>
      <c r="Z20" s="1127"/>
      <c r="AA20" s="1127"/>
      <c r="AB20" s="1125"/>
      <c r="AC20" s="1126"/>
      <c r="AD20" s="1126"/>
      <c r="AE20" s="1126"/>
      <c r="AF20" s="1126"/>
      <c r="AG20" s="1126"/>
      <c r="AH20" s="1126"/>
      <c r="AI20" s="1126"/>
      <c r="AJ20" s="1126"/>
      <c r="AK20" s="1126"/>
      <c r="AL20" s="1126"/>
      <c r="AM20" s="1126"/>
      <c r="AN20" s="1126"/>
      <c r="AO20" s="1126"/>
      <c r="AP20" s="1126"/>
      <c r="AQ20" s="1126"/>
      <c r="AR20" s="1126"/>
      <c r="AS20" s="1126"/>
      <c r="AT20" s="1126"/>
      <c r="AU20" s="1126"/>
      <c r="AV20" s="1126"/>
      <c r="AW20" s="1126"/>
      <c r="AX20" s="1126"/>
      <c r="AY20" s="1126"/>
      <c r="AZ20" s="1126"/>
      <c r="BA20" s="1126"/>
      <c r="BB20" s="1126"/>
      <c r="BC20" s="1126"/>
      <c r="BD20" s="1126"/>
      <c r="BE20" s="1126"/>
      <c r="BF20" s="1126"/>
      <c r="BG20" s="1126"/>
      <c r="BH20" s="1126"/>
      <c r="BI20" s="1126"/>
      <c r="BJ20" s="1126"/>
      <c r="BK20" s="1126"/>
      <c r="BL20" s="1126"/>
      <c r="BM20" s="1126"/>
      <c r="BN20" s="1126"/>
      <c r="BO20" s="1126"/>
      <c r="BP20" s="1126"/>
      <c r="BQ20" s="1126"/>
      <c r="BR20" s="1126"/>
      <c r="BS20" s="1126"/>
      <c r="BT20" s="1126"/>
      <c r="BU20" s="1126"/>
      <c r="BV20" s="1126"/>
      <c r="BW20" s="1126"/>
      <c r="BX20" s="1126"/>
      <c r="BY20" s="1126"/>
      <c r="BZ20" s="1126"/>
      <c r="CA20" s="1126"/>
      <c r="CB20" s="1126"/>
      <c r="CC20" s="1126"/>
      <c r="CD20" s="1126"/>
      <c r="CE20" s="1126"/>
      <c r="CF20" s="1126"/>
      <c r="CG20" s="1126"/>
      <c r="CH20" s="1126"/>
      <c r="CI20" s="1126"/>
      <c r="CJ20" s="1126"/>
      <c r="CK20" s="1126"/>
      <c r="CL20" s="1128"/>
      <c r="CM20" s="1128"/>
      <c r="CN20" s="1128"/>
      <c r="CO20" s="1128"/>
      <c r="CP20" s="1128"/>
      <c r="CQ20" s="1128"/>
      <c r="CR20" s="1128"/>
      <c r="CS20" s="1128"/>
      <c r="CT20" s="1128"/>
      <c r="CU20" s="1128"/>
      <c r="CV20" s="1128"/>
      <c r="CW20" s="1128"/>
      <c r="CX20" s="1128"/>
      <c r="CY20" s="1128"/>
      <c r="CZ20" s="1128"/>
      <c r="DA20" s="1128"/>
      <c r="DB20" s="1128"/>
      <c r="DC20" s="1128"/>
      <c r="DD20" s="1128"/>
      <c r="DE20" s="1128"/>
      <c r="DF20" s="1128"/>
      <c r="DG20" s="1128"/>
      <c r="DH20" s="1128"/>
      <c r="DI20" s="1128"/>
      <c r="DJ20" s="1128"/>
      <c r="DK20" s="1128"/>
      <c r="DL20" s="1128"/>
      <c r="DM20" s="1128"/>
      <c r="DN20" s="1128"/>
      <c r="DO20" s="1128"/>
      <c r="DP20" s="1128"/>
      <c r="DQ20" s="1128"/>
      <c r="DR20" s="1128"/>
      <c r="DS20" s="1128"/>
      <c r="DT20" s="1128"/>
      <c r="DU20" s="1128"/>
      <c r="DV20" s="1128"/>
      <c r="DW20" s="1128"/>
      <c r="DX20" s="1128"/>
      <c r="DY20" s="1128"/>
      <c r="DZ20" s="1128"/>
      <c r="EA20" s="1128"/>
      <c r="EB20" s="1128"/>
      <c r="EC20" s="1128"/>
      <c r="ED20" s="1128"/>
      <c r="EE20" s="1128"/>
      <c r="EF20" s="1128"/>
      <c r="EG20" s="1128"/>
      <c r="EH20" s="1128"/>
      <c r="EI20" s="1128"/>
      <c r="EJ20" s="1128"/>
      <c r="EK20" s="1128"/>
      <c r="EL20" s="1128"/>
      <c r="EM20" s="1128"/>
      <c r="EN20" s="1128"/>
      <c r="EO20" s="1128"/>
      <c r="EP20" s="1128"/>
      <c r="EQ20" s="1128"/>
      <c r="ER20" s="1128"/>
      <c r="ES20" s="1128"/>
      <c r="ET20" s="1128"/>
      <c r="EU20" s="1128"/>
      <c r="EV20" s="1128"/>
      <c r="EW20" s="1128"/>
      <c r="EX20" s="1128"/>
      <c r="EY20" s="1128"/>
      <c r="EZ20" s="1128"/>
      <c r="FA20" s="1128"/>
      <c r="FB20" s="1128"/>
      <c r="FC20" s="1128"/>
      <c r="FD20" s="1128"/>
      <c r="FE20" s="1128"/>
      <c r="FF20" s="1128"/>
      <c r="FG20" s="1128"/>
      <c r="FH20" s="1128"/>
      <c r="FI20" s="1128"/>
      <c r="FJ20" s="1128"/>
      <c r="FK20" s="1128"/>
      <c r="FL20" s="1128"/>
      <c r="FM20" s="1128"/>
      <c r="FN20" s="1128"/>
      <c r="FO20" s="1128"/>
      <c r="FP20" s="1128"/>
      <c r="FQ20" s="1128"/>
      <c r="FR20" s="1128"/>
      <c r="FS20" s="1128"/>
      <c r="FT20" s="1128"/>
      <c r="FU20" s="1128"/>
      <c r="FV20" s="1128"/>
      <c r="FW20" s="1128"/>
      <c r="FX20" s="1129"/>
      <c r="GC20" s="852">
        <v>0</v>
      </c>
    </row>
    <row r="21" spans="1:185" s="855" customFormat="1" ht="12.75" customHeight="1">
      <c r="A21" s="871"/>
      <c r="B21" s="871"/>
      <c r="C21" s="871"/>
      <c r="D21" s="871"/>
      <c r="E21" s="871"/>
      <c r="F21" s="869"/>
      <c r="G21" s="869"/>
      <c r="H21" s="869"/>
      <c r="I21" s="869"/>
      <c r="J21" s="869"/>
      <c r="K21" s="869"/>
      <c r="L21" s="869"/>
      <c r="M21" s="869"/>
      <c r="N21" s="869"/>
      <c r="O21" s="869"/>
      <c r="P21" s="869"/>
      <c r="Q21" s="869"/>
      <c r="R21" s="869"/>
      <c r="S21" s="872"/>
      <c r="T21" s="872"/>
      <c r="U21" s="869"/>
      <c r="V21" s="869"/>
      <c r="W21" s="869"/>
      <c r="X21" s="869"/>
      <c r="Y21" s="869"/>
      <c r="Z21" s="869"/>
      <c r="AA21" s="869"/>
      <c r="AB21" s="869"/>
      <c r="AC21" s="869"/>
      <c r="AD21" s="869"/>
      <c r="AE21" s="869"/>
      <c r="AF21" s="869"/>
      <c r="AG21" s="869"/>
      <c r="AH21" s="869"/>
      <c r="AI21" s="869"/>
      <c r="AJ21" s="869"/>
      <c r="AK21" s="869"/>
      <c r="AL21" s="869"/>
      <c r="AM21" s="869"/>
      <c r="AN21" s="869"/>
      <c r="AO21" s="869"/>
      <c r="AP21" s="869"/>
      <c r="AQ21" s="869"/>
      <c r="AR21" s="869"/>
      <c r="AS21" s="869"/>
      <c r="AT21" s="869"/>
      <c r="AU21" s="869"/>
      <c r="AV21" s="869"/>
      <c r="AW21" s="869"/>
      <c r="AX21" s="869"/>
      <c r="AY21" s="869"/>
      <c r="AZ21" s="869"/>
      <c r="BA21" s="869"/>
      <c r="BB21" s="869"/>
      <c r="BC21" s="869"/>
      <c r="BD21" s="869"/>
      <c r="BE21" s="869"/>
      <c r="BF21" s="869"/>
      <c r="BG21" s="869"/>
      <c r="BH21" s="869"/>
      <c r="BI21" s="869"/>
      <c r="BJ21" s="869"/>
      <c r="BK21" s="869"/>
      <c r="BL21" s="869"/>
      <c r="BM21" s="869"/>
      <c r="BN21" s="869"/>
      <c r="BO21" s="869"/>
      <c r="BP21" s="869"/>
      <c r="BQ21" s="869"/>
      <c r="BR21" s="869"/>
      <c r="BS21" s="869"/>
      <c r="BT21" s="869"/>
      <c r="BU21" s="869"/>
      <c r="BV21" s="869"/>
      <c r="BW21" s="869"/>
      <c r="BX21" s="869"/>
      <c r="BY21" s="869"/>
      <c r="BZ21" s="869"/>
      <c r="CA21" s="869"/>
      <c r="CB21" s="869"/>
      <c r="CC21" s="869"/>
      <c r="CD21" s="869"/>
      <c r="CE21" s="869"/>
      <c r="CF21" s="869"/>
      <c r="CG21" s="869"/>
      <c r="CH21" s="869"/>
      <c r="CI21" s="869"/>
      <c r="CJ21" s="869"/>
      <c r="CK21" s="869"/>
      <c r="CL21" s="869"/>
      <c r="CM21" s="869"/>
      <c r="CN21" s="869"/>
      <c r="CO21" s="869"/>
      <c r="CP21" s="869"/>
      <c r="CQ21" s="869"/>
      <c r="CR21" s="869"/>
      <c r="CS21" s="869"/>
      <c r="CT21" s="869"/>
      <c r="CU21" s="869"/>
      <c r="CV21" s="869"/>
      <c r="CW21" s="869"/>
      <c r="CX21" s="869"/>
      <c r="CY21" s="869"/>
      <c r="CZ21" s="869"/>
      <c r="DA21" s="869"/>
      <c r="DB21" s="869"/>
      <c r="DC21" s="869"/>
      <c r="DD21" s="869"/>
      <c r="DE21" s="869"/>
      <c r="DF21" s="869"/>
      <c r="DG21" s="869"/>
      <c r="DH21" s="869"/>
      <c r="DI21" s="869"/>
      <c r="DJ21" s="869"/>
      <c r="DK21" s="869"/>
      <c r="DL21" s="869"/>
      <c r="DM21" s="869"/>
      <c r="DN21" s="869"/>
      <c r="DO21" s="869"/>
      <c r="DP21" s="869"/>
      <c r="DQ21" s="869"/>
      <c r="DR21" s="869"/>
      <c r="DS21" s="869"/>
      <c r="DT21" s="869"/>
      <c r="DU21" s="869"/>
      <c r="DV21" s="869"/>
      <c r="DW21" s="869"/>
      <c r="DX21" s="869"/>
      <c r="DY21" s="869"/>
      <c r="DZ21" s="869"/>
      <c r="EA21" s="869"/>
      <c r="EB21" s="869"/>
      <c r="EC21" s="869"/>
      <c r="ED21" s="869"/>
      <c r="EE21" s="869"/>
      <c r="EF21" s="869"/>
      <c r="EG21" s="869"/>
      <c r="EH21" s="869"/>
      <c r="EI21" s="869"/>
      <c r="EJ21" s="869"/>
      <c r="EK21" s="869"/>
      <c r="EL21" s="869"/>
      <c r="EM21" s="869"/>
      <c r="EN21" s="869"/>
      <c r="EO21" s="869"/>
      <c r="EP21" s="869"/>
      <c r="EQ21" s="869"/>
      <c r="ER21" s="869"/>
      <c r="ES21" s="869"/>
      <c r="ET21" s="869"/>
      <c r="EU21" s="869"/>
      <c r="EV21" s="869"/>
      <c r="EW21" s="869"/>
      <c r="EX21" s="869"/>
      <c r="EY21" s="869"/>
      <c r="EZ21" s="869"/>
      <c r="FA21" s="869"/>
      <c r="FB21" s="869"/>
      <c r="FC21" s="869"/>
      <c r="FD21" s="869"/>
      <c r="FE21" s="869"/>
      <c r="FF21" s="869"/>
      <c r="FG21" s="869"/>
      <c r="FH21" s="869"/>
      <c r="FI21" s="869"/>
      <c r="FJ21" s="869"/>
      <c r="FK21" s="869"/>
      <c r="FL21" s="869"/>
      <c r="FM21" s="869"/>
      <c r="FN21" s="869"/>
      <c r="FO21" s="869"/>
      <c r="FP21" s="869"/>
      <c r="FQ21" s="869"/>
      <c r="FR21" s="869"/>
      <c r="FS21" s="869"/>
      <c r="FT21" s="869"/>
      <c r="FU21" s="869"/>
      <c r="FV21" s="869"/>
      <c r="FW21" s="869"/>
      <c r="FX21" s="871"/>
      <c r="FY21" s="871"/>
      <c r="FZ21" s="871"/>
      <c r="GA21" s="871"/>
      <c r="GB21" s="871"/>
      <c r="GC21" s="852">
        <v>12</v>
      </c>
    </row>
    <row r="22" spans="1:185" s="855" customFormat="1" ht="12.75" customHeight="1">
      <c r="A22" s="871"/>
      <c r="B22" s="871"/>
      <c r="C22" s="871"/>
      <c r="D22" s="871"/>
      <c r="E22" s="871"/>
      <c r="FX22" s="871"/>
      <c r="FY22" s="871"/>
      <c r="FZ22" s="871"/>
      <c r="GA22" s="871"/>
      <c r="GB22" s="871"/>
      <c r="GC22" s="852">
        <v>12</v>
      </c>
    </row>
    <row r="23" spans="1:185" s="993" customFormat="1" ht="12.75" customHeight="1">
      <c r="A23" s="992"/>
      <c r="B23" s="992"/>
      <c r="C23" s="992"/>
      <c r="D23" s="992"/>
      <c r="E23" s="992"/>
      <c r="O23" s="994"/>
      <c r="P23" s="994"/>
      <c r="Q23" s="994"/>
      <c r="R23" s="994"/>
      <c r="S23" s="994"/>
      <c r="T23" s="994"/>
      <c r="U23" s="994"/>
      <c r="V23" s="994"/>
      <c r="W23" s="994"/>
      <c r="X23" s="994"/>
      <c r="Y23" s="994"/>
      <c r="Z23" s="994"/>
      <c r="AA23" s="994"/>
      <c r="AB23" s="994"/>
      <c r="AC23" s="994"/>
      <c r="AD23" s="994"/>
      <c r="AE23" s="994"/>
      <c r="AF23" s="994"/>
      <c r="AG23" s="994"/>
      <c r="AH23" s="994"/>
      <c r="AI23" s="994"/>
      <c r="AJ23" s="994"/>
      <c r="AK23" s="994"/>
      <c r="AL23" s="994"/>
      <c r="AM23" s="994"/>
      <c r="AN23" s="994"/>
      <c r="AO23" s="994"/>
      <c r="AP23" s="994"/>
      <c r="AQ23" s="994"/>
      <c r="AR23" s="994"/>
      <c r="AS23" s="994"/>
      <c r="AT23" s="994"/>
      <c r="AU23" s="994"/>
      <c r="AV23" s="994"/>
      <c r="AW23" s="994"/>
      <c r="AX23" s="994"/>
      <c r="AY23" s="994"/>
      <c r="AZ23" s="994"/>
      <c r="BA23" s="994"/>
      <c r="BB23" s="994"/>
      <c r="BC23" s="994"/>
      <c r="BD23" s="994"/>
      <c r="BE23" s="994"/>
      <c r="BF23" s="994"/>
      <c r="BG23" s="994"/>
      <c r="BH23" s="994"/>
      <c r="BI23" s="994"/>
      <c r="BJ23" s="994"/>
      <c r="BK23" s="994"/>
      <c r="BL23" s="994"/>
      <c r="BM23" s="994"/>
      <c r="BN23" s="994"/>
      <c r="BO23" s="994"/>
      <c r="BP23" s="994"/>
      <c r="BQ23" s="994"/>
      <c r="BR23" s="994"/>
      <c r="BS23" s="994"/>
      <c r="BT23" s="995"/>
      <c r="BU23" s="995"/>
      <c r="BV23" s="995"/>
      <c r="BW23" s="995"/>
      <c r="BX23" s="995"/>
      <c r="BY23" s="995"/>
      <c r="BZ23" s="995"/>
      <c r="CA23" s="995"/>
      <c r="CB23" s="995"/>
      <c r="CC23" s="995"/>
      <c r="CD23" s="995"/>
      <c r="CE23" s="995"/>
      <c r="CF23" s="995"/>
      <c r="CG23" s="995"/>
      <c r="CH23" s="995"/>
      <c r="CI23" s="995"/>
      <c r="CJ23" s="995"/>
      <c r="CK23" s="995"/>
      <c r="CL23" s="995"/>
      <c r="CM23" s="995"/>
      <c r="CN23" s="995"/>
      <c r="CO23" s="995"/>
      <c r="CP23" s="995"/>
      <c r="CQ23" s="995"/>
      <c r="CR23" s="995"/>
      <c r="CS23" s="995"/>
      <c r="CT23" s="995"/>
      <c r="CU23" s="995"/>
      <c r="CV23" s="995"/>
      <c r="CW23" s="995"/>
      <c r="CX23" s="995"/>
      <c r="CY23" s="995"/>
      <c r="CZ23" s="995"/>
      <c r="DA23" s="995"/>
      <c r="DB23" s="995"/>
      <c r="DC23" s="995"/>
      <c r="DD23" s="995"/>
      <c r="DE23" s="995"/>
      <c r="DF23" s="995"/>
      <c r="DG23" s="995"/>
      <c r="DH23" s="995"/>
      <c r="DI23" s="995"/>
      <c r="DJ23" s="995"/>
      <c r="DK23" s="995"/>
      <c r="DL23" s="995"/>
      <c r="DM23" s="995"/>
      <c r="DN23" s="995"/>
      <c r="DO23" s="995"/>
      <c r="DP23" s="995"/>
      <c r="DQ23" s="995"/>
      <c r="DR23" s="995"/>
      <c r="DS23" s="995"/>
      <c r="DT23" s="995"/>
      <c r="DU23" s="995"/>
      <c r="DV23" s="995"/>
      <c r="DW23" s="995"/>
      <c r="DX23" s="995"/>
      <c r="FX23" s="992"/>
      <c r="FY23" s="992"/>
      <c r="FZ23" s="992"/>
      <c r="GA23" s="992"/>
      <c r="GB23" s="992"/>
      <c r="GC23" s="993">
        <v>12</v>
      </c>
    </row>
    <row r="24" spans="1:185" ht="12.75" customHeight="1">
      <c r="S24" s="868"/>
      <c r="T24" s="868"/>
      <c r="U24" s="868"/>
      <c r="V24" s="868"/>
      <c r="W24" s="868"/>
      <c r="X24" s="868"/>
      <c r="Y24" s="868"/>
      <c r="Z24" s="868"/>
      <c r="AA24" s="868"/>
      <c r="AB24" s="868"/>
      <c r="FX24" s="868"/>
      <c r="FY24" s="868"/>
      <c r="FZ24" s="868"/>
      <c r="GA24" s="868"/>
      <c r="GB24" s="868"/>
      <c r="GC24" s="856">
        <v>12</v>
      </c>
    </row>
    <row r="25" spans="1:185" ht="12" hidden="1" customHeight="1">
      <c r="A25" s="856" t="s">
        <v>87</v>
      </c>
      <c r="B25" s="866">
        <v>0</v>
      </c>
      <c r="C25" s="856">
        <v>0</v>
      </c>
      <c r="D25" s="856">
        <v>0</v>
      </c>
      <c r="E25" s="856">
        <v>3</v>
      </c>
      <c r="F25" s="856">
        <v>6</v>
      </c>
      <c r="G25" s="856">
        <v>18</v>
      </c>
      <c r="H25" s="856">
        <v>27</v>
      </c>
      <c r="I25" s="856">
        <v>18</v>
      </c>
      <c r="J25" s="856">
        <v>0</v>
      </c>
      <c r="K25" s="856">
        <v>0</v>
      </c>
      <c r="L25" s="856">
        <v>0</v>
      </c>
      <c r="M25" s="856">
        <v>0</v>
      </c>
      <c r="N25" s="856">
        <v>0</v>
      </c>
      <c r="O25" s="856">
        <v>0</v>
      </c>
      <c r="P25" s="856">
        <v>0</v>
      </c>
      <c r="Q25" s="856">
        <v>0</v>
      </c>
      <c r="R25" s="856">
        <v>0</v>
      </c>
      <c r="S25" s="856">
        <v>0</v>
      </c>
      <c r="T25" s="856">
        <v>0</v>
      </c>
      <c r="U25" s="856">
        <v>0</v>
      </c>
      <c r="V25" s="856">
        <v>0</v>
      </c>
      <c r="W25" s="856">
        <v>0</v>
      </c>
      <c r="X25" s="856">
        <v>0</v>
      </c>
      <c r="Y25" s="856">
        <v>0</v>
      </c>
      <c r="Z25" s="856">
        <v>0</v>
      </c>
      <c r="AA25" s="856">
        <v>0</v>
      </c>
      <c r="AB25" s="856">
        <v>0</v>
      </c>
      <c r="AC25" s="856">
        <v>0</v>
      </c>
      <c r="AD25" s="856">
        <v>0</v>
      </c>
      <c r="AE25" s="856">
        <v>0</v>
      </c>
      <c r="AF25" s="856">
        <v>0</v>
      </c>
      <c r="AG25" s="856">
        <v>0</v>
      </c>
      <c r="AH25" s="856">
        <v>0</v>
      </c>
      <c r="AI25" s="856">
        <v>0</v>
      </c>
      <c r="AJ25" s="856">
        <v>0</v>
      </c>
      <c r="AK25" s="856">
        <v>0</v>
      </c>
      <c r="AL25" s="856">
        <v>0</v>
      </c>
      <c r="AM25" s="856">
        <v>0</v>
      </c>
      <c r="AN25" s="856">
        <v>0</v>
      </c>
      <c r="AO25" s="856">
        <v>0</v>
      </c>
      <c r="AP25" s="856">
        <v>0</v>
      </c>
      <c r="AQ25" s="856">
        <v>0</v>
      </c>
      <c r="AR25" s="856">
        <v>0</v>
      </c>
      <c r="AS25" s="856">
        <v>0</v>
      </c>
      <c r="AT25" s="856">
        <v>0</v>
      </c>
      <c r="AU25" s="856">
        <v>0</v>
      </c>
      <c r="AV25" s="856">
        <v>0</v>
      </c>
      <c r="AW25" s="856">
        <v>0</v>
      </c>
      <c r="AX25" s="856">
        <v>0</v>
      </c>
      <c r="AY25" s="856">
        <v>0</v>
      </c>
      <c r="AZ25" s="856">
        <v>0</v>
      </c>
      <c r="BA25" s="856">
        <v>0</v>
      </c>
      <c r="BB25" s="856">
        <v>0</v>
      </c>
      <c r="BC25" s="856">
        <v>0</v>
      </c>
      <c r="BD25" s="856">
        <v>0</v>
      </c>
      <c r="BE25" s="856">
        <v>0</v>
      </c>
      <c r="BF25" s="856">
        <v>0</v>
      </c>
      <c r="BG25" s="856">
        <v>0</v>
      </c>
      <c r="BH25" s="856">
        <v>0</v>
      </c>
      <c r="BI25" s="856">
        <v>0</v>
      </c>
      <c r="BJ25" s="856">
        <v>0</v>
      </c>
      <c r="BK25" s="856">
        <v>0</v>
      </c>
      <c r="BL25" s="856">
        <v>0</v>
      </c>
      <c r="BM25" s="856">
        <v>0</v>
      </c>
      <c r="BN25" s="856">
        <v>0</v>
      </c>
      <c r="BO25" s="856">
        <v>0</v>
      </c>
      <c r="BP25" s="856">
        <v>0</v>
      </c>
      <c r="BQ25" s="856">
        <v>0</v>
      </c>
      <c r="BR25" s="856">
        <v>0</v>
      </c>
      <c r="BS25" s="856">
        <v>0</v>
      </c>
      <c r="BT25" s="856">
        <v>0</v>
      </c>
      <c r="BU25" s="856">
        <v>0</v>
      </c>
      <c r="BV25" s="856">
        <v>0</v>
      </c>
      <c r="BW25" s="856">
        <v>0</v>
      </c>
      <c r="BX25" s="856">
        <v>0</v>
      </c>
      <c r="BY25" s="856">
        <v>0</v>
      </c>
      <c r="BZ25" s="856">
        <v>0</v>
      </c>
      <c r="CA25" s="856">
        <v>0</v>
      </c>
      <c r="CB25" s="856">
        <v>0</v>
      </c>
      <c r="CC25" s="856">
        <v>0</v>
      </c>
      <c r="CD25" s="856">
        <v>0</v>
      </c>
      <c r="CE25" s="856">
        <v>0</v>
      </c>
      <c r="CF25" s="856">
        <v>0</v>
      </c>
      <c r="CG25" s="856">
        <v>0</v>
      </c>
      <c r="CH25" s="856">
        <v>0</v>
      </c>
      <c r="CI25" s="856">
        <v>0</v>
      </c>
      <c r="CJ25" s="856">
        <v>0</v>
      </c>
      <c r="CK25" s="856">
        <v>0</v>
      </c>
      <c r="CL25" s="856">
        <v>0</v>
      </c>
      <c r="CM25" s="856">
        <v>0</v>
      </c>
      <c r="CN25" s="856">
        <v>0</v>
      </c>
      <c r="CO25" s="856">
        <v>0</v>
      </c>
      <c r="CP25" s="856">
        <v>0</v>
      </c>
      <c r="CQ25" s="856">
        <v>0</v>
      </c>
      <c r="CR25" s="856">
        <v>0</v>
      </c>
      <c r="CS25" s="856">
        <v>0</v>
      </c>
      <c r="CT25" s="856">
        <v>0</v>
      </c>
      <c r="CU25" s="856">
        <v>0</v>
      </c>
      <c r="CV25" s="856">
        <v>0</v>
      </c>
      <c r="CW25" s="856">
        <v>0</v>
      </c>
      <c r="CX25" s="856">
        <v>0</v>
      </c>
      <c r="CY25" s="856">
        <v>0</v>
      </c>
      <c r="CZ25" s="856">
        <v>0</v>
      </c>
      <c r="DA25" s="856">
        <v>0</v>
      </c>
      <c r="DB25" s="856">
        <v>0</v>
      </c>
      <c r="DC25" s="856">
        <v>0</v>
      </c>
      <c r="DD25" s="856">
        <v>0</v>
      </c>
      <c r="DE25" s="856">
        <v>0</v>
      </c>
      <c r="DF25" s="856">
        <v>0</v>
      </c>
      <c r="DG25" s="856">
        <v>0</v>
      </c>
      <c r="DH25" s="856">
        <v>0</v>
      </c>
      <c r="DI25" s="856">
        <v>0</v>
      </c>
      <c r="DJ25" s="856">
        <v>0</v>
      </c>
      <c r="DK25" s="856">
        <v>0</v>
      </c>
      <c r="DL25" s="856">
        <v>0</v>
      </c>
      <c r="DM25" s="856">
        <v>0</v>
      </c>
      <c r="DN25" s="856">
        <v>0</v>
      </c>
      <c r="DO25" s="856">
        <v>0</v>
      </c>
      <c r="DP25" s="856">
        <v>0</v>
      </c>
      <c r="DQ25" s="856">
        <v>0</v>
      </c>
      <c r="DR25" s="856">
        <v>0</v>
      </c>
      <c r="DS25" s="856">
        <v>0</v>
      </c>
      <c r="DT25" s="856">
        <v>0</v>
      </c>
      <c r="DU25" s="856">
        <v>0</v>
      </c>
      <c r="DV25" s="856">
        <v>0</v>
      </c>
      <c r="DW25" s="856">
        <v>0</v>
      </c>
      <c r="DX25" s="856">
        <v>0</v>
      </c>
      <c r="DY25" s="856">
        <v>0</v>
      </c>
      <c r="DZ25" s="856">
        <v>0</v>
      </c>
      <c r="EA25" s="856">
        <v>0</v>
      </c>
      <c r="EB25" s="856">
        <v>0</v>
      </c>
      <c r="EC25" s="856">
        <v>0</v>
      </c>
      <c r="ED25" s="856">
        <v>0</v>
      </c>
      <c r="EE25" s="856">
        <v>0</v>
      </c>
      <c r="EF25" s="856">
        <v>0</v>
      </c>
      <c r="EG25" s="856">
        <v>0</v>
      </c>
      <c r="EH25" s="856">
        <v>0</v>
      </c>
      <c r="EI25" s="856">
        <v>0</v>
      </c>
      <c r="EJ25" s="856">
        <v>0</v>
      </c>
      <c r="EK25" s="856">
        <v>0</v>
      </c>
      <c r="EL25" s="856">
        <v>0</v>
      </c>
      <c r="EM25" s="856">
        <v>0</v>
      </c>
      <c r="EN25" s="856">
        <v>0</v>
      </c>
      <c r="EO25" s="856">
        <v>0</v>
      </c>
      <c r="EP25" s="856">
        <v>0</v>
      </c>
      <c r="EQ25" s="856">
        <v>0</v>
      </c>
      <c r="ER25" s="856">
        <v>0</v>
      </c>
      <c r="ES25" s="856">
        <v>0</v>
      </c>
      <c r="ET25" s="856">
        <v>0</v>
      </c>
      <c r="EU25" s="856">
        <v>0</v>
      </c>
      <c r="EV25" s="856">
        <v>0</v>
      </c>
      <c r="EW25" s="856">
        <v>0</v>
      </c>
      <c r="EX25" s="856">
        <v>0</v>
      </c>
      <c r="EY25" s="856">
        <v>0</v>
      </c>
      <c r="EZ25" s="856">
        <v>0</v>
      </c>
      <c r="FA25" s="856">
        <v>0</v>
      </c>
      <c r="FB25" s="856">
        <v>0</v>
      </c>
      <c r="FC25" s="856">
        <v>0</v>
      </c>
      <c r="FD25" s="856">
        <v>0</v>
      </c>
      <c r="FE25" s="856">
        <v>0</v>
      </c>
      <c r="FF25" s="856">
        <v>0</v>
      </c>
      <c r="FG25" s="856">
        <v>0</v>
      </c>
      <c r="FH25" s="856">
        <v>0</v>
      </c>
      <c r="FI25" s="856">
        <v>0</v>
      </c>
      <c r="FJ25" s="856">
        <v>0</v>
      </c>
      <c r="FK25" s="856">
        <v>0</v>
      </c>
      <c r="FL25" s="856">
        <v>0</v>
      </c>
      <c r="FM25" s="856">
        <v>0</v>
      </c>
      <c r="FN25" s="856">
        <v>0</v>
      </c>
      <c r="FO25" s="856">
        <v>0</v>
      </c>
      <c r="FP25" s="856">
        <v>0</v>
      </c>
      <c r="FQ25" s="856">
        <v>0</v>
      </c>
      <c r="FR25" s="856">
        <v>0</v>
      </c>
      <c r="FS25" s="856">
        <v>0</v>
      </c>
      <c r="FT25" s="856">
        <v>0</v>
      </c>
      <c r="FU25" s="856">
        <v>0</v>
      </c>
      <c r="FV25" s="856">
        <v>0</v>
      </c>
      <c r="FW25" s="856">
        <v>0</v>
      </c>
      <c r="FX25" s="856">
        <v>8</v>
      </c>
      <c r="FY25" s="856">
        <v>8</v>
      </c>
      <c r="FZ25" s="856">
        <v>8</v>
      </c>
      <c r="GA25" s="856">
        <v>8</v>
      </c>
      <c r="GB25" s="856">
        <v>8</v>
      </c>
      <c r="GC25" s="856">
        <v>12</v>
      </c>
    </row>
  </sheetData>
  <sheetProtection formatColumns="0" formatRows="0" insertRows="0" deleteColumns="0" deleteRows="0" sort="0" autoFilter="0"/>
  <mergeCells count="198">
    <mergeCell ref="F10:FV10"/>
    <mergeCell ref="F5:BS5"/>
    <mergeCell ref="F6:BS6"/>
    <mergeCell ref="DG13:DJ13"/>
    <mergeCell ref="CH13:CK13"/>
    <mergeCell ref="FE11:FE17"/>
    <mergeCell ref="FF11:FF17"/>
    <mergeCell ref="FG11:FG17"/>
    <mergeCell ref="FH11:FH17"/>
    <mergeCell ref="FI11:FI17"/>
    <mergeCell ref="FJ11:FJ17"/>
    <mergeCell ref="EY11:EY17"/>
    <mergeCell ref="EZ11:EZ17"/>
    <mergeCell ref="FA11:FA17"/>
    <mergeCell ref="FB11:FB17"/>
    <mergeCell ref="FC11:FC17"/>
    <mergeCell ref="FD11:FD17"/>
    <mergeCell ref="FS11:FS17"/>
    <mergeCell ref="FT11:FT17"/>
    <mergeCell ref="FU11:FU17"/>
    <mergeCell ref="FV11:FV17"/>
    <mergeCell ref="FK11:FK17"/>
    <mergeCell ref="FL11:FL17"/>
    <mergeCell ref="FM11:FM17"/>
    <mergeCell ref="FN11:FN17"/>
    <mergeCell ref="FO11:FO17"/>
    <mergeCell ref="FP11:FP17"/>
    <mergeCell ref="FQ11:FQ17"/>
    <mergeCell ref="FR11:FR17"/>
    <mergeCell ref="EV11:EV17"/>
    <mergeCell ref="EW11:EW17"/>
    <mergeCell ref="EX11:EX17"/>
    <mergeCell ref="EM11:EM17"/>
    <mergeCell ref="EN11:EN17"/>
    <mergeCell ref="EO11:EO17"/>
    <mergeCell ref="EP11:EP17"/>
    <mergeCell ref="EQ11:EQ17"/>
    <mergeCell ref="ER11:ER17"/>
    <mergeCell ref="ES11:ES17"/>
    <mergeCell ref="ET11:ET17"/>
    <mergeCell ref="EU11:EU17"/>
    <mergeCell ref="EC11:EC17"/>
    <mergeCell ref="ED11:ED17"/>
    <mergeCell ref="EE11:EE17"/>
    <mergeCell ref="EF11:EF17"/>
    <mergeCell ref="EG11:EG17"/>
    <mergeCell ref="EH11:EH17"/>
    <mergeCell ref="DW11:DW17"/>
    <mergeCell ref="DX11:DX17"/>
    <mergeCell ref="DY11:DY17"/>
    <mergeCell ref="DZ11:DZ17"/>
    <mergeCell ref="EA11:EA17"/>
    <mergeCell ref="EB11:EB17"/>
    <mergeCell ref="DG16:DH16"/>
    <mergeCell ref="DQ11:DQ17"/>
    <mergeCell ref="DR11:DR17"/>
    <mergeCell ref="DS11:DS17"/>
    <mergeCell ref="DT11:DT17"/>
    <mergeCell ref="DI14:DJ15"/>
    <mergeCell ref="DI16:DJ16"/>
    <mergeCell ref="DU11:DU17"/>
    <mergeCell ref="DV11:DV17"/>
    <mergeCell ref="DK11:DK17"/>
    <mergeCell ref="DL11:DL17"/>
    <mergeCell ref="DM11:DM17"/>
    <mergeCell ref="DN11:DN17"/>
    <mergeCell ref="DO11:DO17"/>
    <mergeCell ref="DP11:DP17"/>
    <mergeCell ref="BX16:BY16"/>
    <mergeCell ref="BZ13:CA15"/>
    <mergeCell ref="BZ16:CA16"/>
    <mergeCell ref="CB12:CC12"/>
    <mergeCell ref="CB13:CC15"/>
    <mergeCell ref="CB16:CC16"/>
    <mergeCell ref="CD13:CE15"/>
    <mergeCell ref="CD16:CE16"/>
    <mergeCell ref="CF13:CG15"/>
    <mergeCell ref="CF16:CG16"/>
    <mergeCell ref="F11:F17"/>
    <mergeCell ref="G11:G17"/>
    <mergeCell ref="H11:H17"/>
    <mergeCell ref="I11:I17"/>
    <mergeCell ref="J11:J17"/>
    <mergeCell ref="K11:K17"/>
    <mergeCell ref="BP11:BP17"/>
    <mergeCell ref="BE11:BE17"/>
    <mergeCell ref="BF11:BF17"/>
    <mergeCell ref="BG11:BG17"/>
    <mergeCell ref="BH11:BH17"/>
    <mergeCell ref="BI11:BI17"/>
    <mergeCell ref="BJ11:BJ17"/>
    <mergeCell ref="BC11:BC17"/>
    <mergeCell ref="BD11:BD17"/>
    <mergeCell ref="O13:R13"/>
    <mergeCell ref="U13:X13"/>
    <mergeCell ref="Y13:AB13"/>
    <mergeCell ref="BL11:BL17"/>
    <mergeCell ref="BM11:BM17"/>
    <mergeCell ref="BN11:BN17"/>
    <mergeCell ref="BO11:BO17"/>
    <mergeCell ref="Y14:Z15"/>
    <mergeCell ref="Y16:Z16"/>
    <mergeCell ref="BT8:CX8"/>
    <mergeCell ref="CY8:DX8"/>
    <mergeCell ref="L11:L17"/>
    <mergeCell ref="M11:M17"/>
    <mergeCell ref="N11:N17"/>
    <mergeCell ref="O11:AB11"/>
    <mergeCell ref="AC11:AC17"/>
    <mergeCell ref="AD11:AD17"/>
    <mergeCell ref="O12:R12"/>
    <mergeCell ref="S12:AB12"/>
    <mergeCell ref="AM11:AM17"/>
    <mergeCell ref="AN11:AN17"/>
    <mergeCell ref="AO11:AO17"/>
    <mergeCell ref="AP11:AP17"/>
    <mergeCell ref="AQ11:AQ17"/>
    <mergeCell ref="AR11:AR17"/>
    <mergeCell ref="AS11:AS17"/>
    <mergeCell ref="AT11:AT17"/>
    <mergeCell ref="AU11:AU17"/>
    <mergeCell ref="AV11:AV17"/>
    <mergeCell ref="AW11:AW17"/>
    <mergeCell ref="AX11:AX17"/>
    <mergeCell ref="BK11:BK17"/>
    <mergeCell ref="BQ11:BQ17"/>
    <mergeCell ref="DY8:FV8"/>
    <mergeCell ref="FW8:FW17"/>
    <mergeCell ref="AE11:AE17"/>
    <mergeCell ref="AF11:AF17"/>
    <mergeCell ref="EI11:EI17"/>
    <mergeCell ref="EJ11:EJ17"/>
    <mergeCell ref="EK11:EK17"/>
    <mergeCell ref="EL11:EL17"/>
    <mergeCell ref="CL11:CL17"/>
    <mergeCell ref="CM11:CM17"/>
    <mergeCell ref="CN11:CN17"/>
    <mergeCell ref="CO11:CO17"/>
    <mergeCell ref="AG11:AG17"/>
    <mergeCell ref="AH11:AH17"/>
    <mergeCell ref="AI11:AI17"/>
    <mergeCell ref="AJ11:AJ17"/>
    <mergeCell ref="AK11:AK17"/>
    <mergeCell ref="AL11:AL17"/>
    <mergeCell ref="AY11:AY17"/>
    <mergeCell ref="AZ11:AZ17"/>
    <mergeCell ref="BA11:BA17"/>
    <mergeCell ref="BB11:BB17"/>
    <mergeCell ref="BV13:BW15"/>
    <mergeCell ref="O8:BS8"/>
    <mergeCell ref="AA14:AB15"/>
    <mergeCell ref="AA16:AB16"/>
    <mergeCell ref="BT13:BU15"/>
    <mergeCell ref="BT16:BU16"/>
    <mergeCell ref="O14:P15"/>
    <mergeCell ref="O16:P16"/>
    <mergeCell ref="Q14:R15"/>
    <mergeCell ref="Q16:R16"/>
    <mergeCell ref="S13:T15"/>
    <mergeCell ref="S16:T16"/>
    <mergeCell ref="U14:V15"/>
    <mergeCell ref="W14:X15"/>
    <mergeCell ref="U16:V16"/>
    <mergeCell ref="W16:X16"/>
    <mergeCell ref="BR11:BR17"/>
    <mergeCell ref="BS11:BS17"/>
    <mergeCell ref="BT11:CK11"/>
    <mergeCell ref="BT12:BW12"/>
    <mergeCell ref="BX12:CA12"/>
    <mergeCell ref="CD12:CK12"/>
    <mergeCell ref="BV16:BW16"/>
    <mergeCell ref="BX13:BY15"/>
    <mergeCell ref="CH14:CI15"/>
    <mergeCell ref="CH16:CI16"/>
    <mergeCell ref="CJ14:CK15"/>
    <mergeCell ref="CJ16:CK16"/>
    <mergeCell ref="CY13:CZ15"/>
    <mergeCell ref="CY16:CZ16"/>
    <mergeCell ref="DA13:DB15"/>
    <mergeCell ref="DA16:DB16"/>
    <mergeCell ref="CV11:CV17"/>
    <mergeCell ref="CW11:CW17"/>
    <mergeCell ref="CX11:CX17"/>
    <mergeCell ref="CY11:DJ11"/>
    <mergeCell ref="CY12:DD12"/>
    <mergeCell ref="DG12:DJ12"/>
    <mergeCell ref="CP11:CP17"/>
    <mergeCell ref="CQ11:CQ17"/>
    <mergeCell ref="CR11:CR17"/>
    <mergeCell ref="CS11:CS17"/>
    <mergeCell ref="CT11:CT17"/>
    <mergeCell ref="CU11:CU17"/>
    <mergeCell ref="DC13:DD15"/>
    <mergeCell ref="DC16:DD16"/>
    <mergeCell ref="DE12:DF12"/>
    <mergeCell ref="DE13:DF15"/>
    <mergeCell ref="DE16:DF16"/>
    <mergeCell ref="DG14:DH15"/>
  </mergeCells>
  <dataValidations count="1">
    <dataValidation allowBlank="1" showInputMessage="1" showErrorMessage="1" sqref="AA14:AB16 U16:Z16"/>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S23"/>
  <sheetViews>
    <sheetView showGridLines="0" zoomScale="90" workbookViewId="0">
      <pane xSplit="7" ySplit="14" topLeftCell="H15" activePane="bottomRight" state="frozen"/>
      <selection pane="topRight" activeCell="H1" sqref="H1"/>
      <selection pane="bottomLeft" activeCell="A15" sqref="A15"/>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36" style="1562" customWidth="1"/>
    <col min="6" max="6" width="9" style="1562" customWidth="1"/>
    <col min="7" max="7" width="42.42578125" style="1562" hidden="1" customWidth="1"/>
    <col min="8" max="8" width="40.7109375" style="1562" customWidth="1"/>
    <col min="9" max="9" width="93" style="1293" customWidth="1"/>
    <col min="10" max="17" width="10" style="1562" customWidth="1"/>
    <col min="18" max="18" width="10" style="612" customWidth="1"/>
    <col min="19" max="19" width="10.5703125" style="1562" hidden="1"/>
  </cols>
  <sheetData>
    <row r="1" spans="1:19" s="1293" customFormat="1" ht="15" hidden="1" customHeight="1">
      <c r="C1" s="609"/>
      <c r="H1" s="354">
        <v>4</v>
      </c>
      <c r="R1" s="357"/>
      <c r="S1" s="354" t="s">
        <v>14</v>
      </c>
    </row>
    <row r="2" spans="1:19" ht="22.5" hidden="1" customHeight="1">
      <c r="C2" s="1850" t="s">
        <v>179</v>
      </c>
      <c r="D2" s="476"/>
      <c r="E2" s="600"/>
      <c r="F2" s="1687" t="str">
        <f>IF(TEMPLATE_SPHERE="HEAT","Гкал/час","тыс. куб. м/сутки")</f>
        <v>Гкал/час</v>
      </c>
      <c r="G2" s="617"/>
      <c r="H2" s="617"/>
      <c r="I2" s="227"/>
      <c r="S2" s="442">
        <v>0</v>
      </c>
    </row>
    <row r="3" spans="1:19" s="1293" customFormat="1" ht="15" hidden="1" customHeight="1">
      <c r="C3" s="609"/>
      <c r="R3" s="357"/>
      <c r="S3" s="354">
        <v>0</v>
      </c>
    </row>
    <row r="4" spans="1:19" ht="15.75" customHeight="1">
      <c r="C4" s="114"/>
      <c r="D4" s="446"/>
      <c r="E4" s="446"/>
      <c r="F4" s="446"/>
      <c r="G4" s="446"/>
      <c r="H4" s="446"/>
      <c r="S4" s="442">
        <v>15</v>
      </c>
    </row>
    <row r="5" spans="1:19" ht="39.75" customHeight="1">
      <c r="C5" s="114"/>
      <c r="D5" s="2877" t="str">
        <f>TP_NAME_FORM</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E5" s="2877"/>
      <c r="F5" s="2877"/>
      <c r="G5" s="2877"/>
      <c r="H5" s="2877"/>
      <c r="I5" s="474"/>
      <c r="S5" s="442">
        <v>38</v>
      </c>
    </row>
    <row r="6" spans="1:19" ht="15.75" customHeight="1">
      <c r="C6" s="114"/>
      <c r="D6" s="2849" t="str">
        <f>IF(org=0,"Не определено",org)</f>
        <v>ТМУП "ТТС"</v>
      </c>
      <c r="E6" s="2849"/>
      <c r="F6" s="2849"/>
      <c r="G6" s="2849"/>
      <c r="H6" s="2849"/>
      <c r="I6" s="474"/>
      <c r="S6" s="442">
        <v>15</v>
      </c>
    </row>
    <row r="7" spans="1:19" s="1562" customFormat="1" ht="15.75" customHeight="1">
      <c r="A7" s="694"/>
      <c r="C7" s="114"/>
      <c r="D7" s="613"/>
      <c r="E7" s="613"/>
      <c r="F7" s="613"/>
      <c r="G7" s="613"/>
      <c r="H7" s="689"/>
      <c r="I7" s="474"/>
      <c r="R7" s="612"/>
      <c r="S7" s="693">
        <v>15</v>
      </c>
    </row>
    <row r="8" spans="1:19" ht="0.75" customHeight="1">
      <c r="C8" s="114"/>
      <c r="D8" s="446"/>
      <c r="E8" s="446"/>
      <c r="F8" s="446"/>
      <c r="G8" s="446"/>
      <c r="H8" s="474" t="s">
        <v>122</v>
      </c>
      <c r="S8" s="442">
        <v>1</v>
      </c>
    </row>
    <row r="9" spans="1:19" ht="15.75" customHeight="1">
      <c r="C9" s="114"/>
      <c r="D9" s="648"/>
      <c r="E9" s="2984" t="s">
        <v>110</v>
      </c>
      <c r="F9" s="2985"/>
      <c r="G9" s="747" t="str">
        <f>IF(G8="","",INDEX(DIFFERENTIATION_UNMERGE_VD,MATCH(G8,DIFFERENTIATION_ID_DIFF,0)))</f>
        <v/>
      </c>
      <c r="H9" s="747">
        <f>IF(H8="","",INDEX(DIFFERENTIATION_UNMERGE_VD,MATCH(H8,DIFFERENTIATION_ID_DIFF,0)))</f>
        <v>0</v>
      </c>
      <c r="I9" s="2758" t="s">
        <v>346</v>
      </c>
      <c r="S9" s="442">
        <v>15</v>
      </c>
    </row>
    <row r="10" spans="1:19" s="1562" customFormat="1" ht="15.75" customHeight="1">
      <c r="A10" s="694"/>
      <c r="C10" s="114"/>
      <c r="D10" s="648"/>
      <c r="E10" s="2984" t="s">
        <v>610</v>
      </c>
      <c r="F10" s="2985"/>
      <c r="G10" s="747" t="str">
        <f>IF(G8="","",INDEX(DIFFERENTIATION_UNMERGE_AREA,MATCH(G8,DIFFERENTIATION_ID_DIFF,0)))</f>
        <v/>
      </c>
      <c r="H10" s="747" t="str">
        <f>IF(H8="","",INDEX(DIFFERENTIATION_UNMERGE_AREA,MATCH(H8,DIFFERENTIATION_ID_DIFF,0)))</f>
        <v/>
      </c>
      <c r="I10" s="2758"/>
      <c r="R10" s="612"/>
      <c r="S10" s="693">
        <v>15</v>
      </c>
    </row>
    <row r="11" spans="1:19" s="1562" customFormat="1" ht="15.75" customHeight="1">
      <c r="A11" s="694"/>
      <c r="C11" s="114"/>
      <c r="D11" s="648"/>
      <c r="E11" s="2984" t="s">
        <v>611</v>
      </c>
      <c r="F11" s="2985"/>
      <c r="G11" s="747" t="str">
        <f>IF(G8="","",INDEX(DIFFERENTIATION_UNMERGE_SYSTEM,MATCH(G8,DIFFERENTIATION_ID_DIFF,0)))</f>
        <v/>
      </c>
      <c r="H11" s="747" t="str">
        <f>IF(H8="","",INDEX(DIFFERENTIATION_UNMERGE_SYSTEM,MATCH(H8,DIFFERENTIATION_ID_DIFF,0)))</f>
        <v>без дифференциации</v>
      </c>
      <c r="I11" s="2758"/>
      <c r="R11" s="612"/>
      <c r="S11" s="693">
        <v>15</v>
      </c>
    </row>
    <row r="12" spans="1:19" s="1562" customFormat="1" ht="15.75" customHeight="1">
      <c r="A12" s="694"/>
      <c r="C12" s="114"/>
      <c r="D12" s="2986" t="s">
        <v>345</v>
      </c>
      <c r="E12" s="2987"/>
      <c r="F12" s="2987"/>
      <c r="G12" s="817"/>
      <c r="H12" s="817"/>
      <c r="I12" s="2758"/>
      <c r="R12" s="612"/>
      <c r="S12" s="693">
        <v>15</v>
      </c>
    </row>
    <row r="13" spans="1:19" ht="36" customHeight="1">
      <c r="C13" s="114"/>
      <c r="D13" s="696" t="s">
        <v>93</v>
      </c>
      <c r="E13" s="695" t="s">
        <v>347</v>
      </c>
      <c r="F13" s="695" t="s">
        <v>612</v>
      </c>
      <c r="G13" s="739" t="s">
        <v>348</v>
      </c>
      <c r="H13" s="691" t="s">
        <v>348</v>
      </c>
      <c r="I13" s="2758"/>
      <c r="S13" s="442">
        <v>34</v>
      </c>
    </row>
    <row r="14" spans="1:19" ht="15" hidden="1" customHeight="1">
      <c r="C14" s="114"/>
      <c r="D14" s="530" t="s">
        <v>114</v>
      </c>
      <c r="E14" s="530" t="s">
        <v>115</v>
      </c>
      <c r="F14" s="530" t="s">
        <v>95</v>
      </c>
      <c r="G14" s="596" t="str">
        <f>G1&amp;".1"</f>
        <v>.1</v>
      </c>
      <c r="H14" s="596" t="str">
        <f>H1&amp;".1"</f>
        <v>4.1</v>
      </c>
      <c r="I14" s="227"/>
      <c r="S14" s="442">
        <v>0</v>
      </c>
    </row>
    <row r="15" spans="1:19" ht="15.75" customHeight="1">
      <c r="A15" s="442"/>
      <c r="C15" s="463"/>
      <c r="D15" s="458">
        <v>1</v>
      </c>
      <c r="E15" s="1852" t="str">
        <f>TP_P_A</f>
        <v>Количество поданных заявок</v>
      </c>
      <c r="F15" s="458" t="s">
        <v>1160</v>
      </c>
      <c r="G15" s="622"/>
      <c r="H15" s="622"/>
      <c r="I15" s="146" t="str">
        <f>TP_P_NOTE_A</f>
        <v>Указывается количество поданных заявок на подключение (технологическое присоединение) к системе теплоснабжения в течение отчетного квартала.</v>
      </c>
      <c r="S15" s="442">
        <v>15</v>
      </c>
    </row>
    <row r="16" spans="1:19" ht="15.75" customHeight="1">
      <c r="A16" s="442"/>
      <c r="C16" s="463"/>
      <c r="D16" s="458">
        <v>2</v>
      </c>
      <c r="E16" s="1852" t="str">
        <f>TP_P_B</f>
        <v>Количество рассмотренных заявок</v>
      </c>
      <c r="F16" s="458" t="s">
        <v>1160</v>
      </c>
      <c r="G16" s="622"/>
      <c r="H16" s="622"/>
      <c r="I16" s="146" t="str">
        <f>TP_P_NOTE_B</f>
        <v>Указывается количество исполненных заявок на подключение (технологическое присоединение) к системе теплоснабжения в течение отчетного квартала.</v>
      </c>
      <c r="S16" s="442">
        <v>15</v>
      </c>
    </row>
    <row r="17" spans="1:19" ht="78" customHeight="1">
      <c r="A17" s="442"/>
      <c r="C17" s="463"/>
      <c r="D17" s="458">
        <v>3</v>
      </c>
      <c r="E17" s="1852" t="str">
        <f>TP_P_V</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F17" s="458" t="s">
        <v>1160</v>
      </c>
      <c r="G17" s="622"/>
      <c r="H17" s="622"/>
      <c r="I17" s="146" t="str">
        <f>TP_P_NOTE_V</f>
        <v>Указывается количество заявок с решением об отказе в течение отчетного квартала.</v>
      </c>
      <c r="S17" s="442">
        <v>74</v>
      </c>
    </row>
    <row r="18" spans="1:19" ht="54.75" customHeight="1">
      <c r="A18" s="442"/>
      <c r="C18" s="463"/>
      <c r="D18" s="458">
        <v>4</v>
      </c>
      <c r="E18" s="1852" t="str">
        <f>TP_P_V_1</f>
        <v>Причины отказа в заключении договора о подключении (технологическом присоединении) к системе теплоснабжения</v>
      </c>
      <c r="F18" s="458" t="s">
        <v>351</v>
      </c>
      <c r="G18" s="623"/>
      <c r="H18" s="623"/>
      <c r="I18" s="769" t="str">
        <f>TP_P_NOTE_V_1</f>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S18" s="442">
        <v>52</v>
      </c>
    </row>
    <row r="19" spans="1:19" ht="60" customHeight="1">
      <c r="A19" s="442"/>
      <c r="C19" s="463"/>
      <c r="D19" s="458">
        <v>5</v>
      </c>
      <c r="E19" s="1852" t="str">
        <f>TP_P_G</f>
        <v>Резерв мощности источников тепловой энергии, входящих в систему теплоснабжения, в течение одного квартала, в том числе:</v>
      </c>
      <c r="F19" s="458" t="str">
        <f>IF(TEMPLATE_SPHERE="HEAT","Гкал/час","тыс. куб. м/сутки")</f>
        <v>Гкал/час</v>
      </c>
      <c r="G19" s="624">
        <f>SUM(G20:G22)</f>
        <v>0</v>
      </c>
      <c r="H19" s="624">
        <f>SUM(H20:H22)</f>
        <v>0</v>
      </c>
      <c r="I19" s="146" t="str">
        <f>TP_P_NOTE_G</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19" s="442">
        <v>57</v>
      </c>
    </row>
    <row r="20" spans="1:19" ht="15" hidden="1" customHeight="1">
      <c r="D20" s="446" t="s">
        <v>1161</v>
      </c>
      <c r="E20" s="625"/>
      <c r="F20" s="446"/>
      <c r="G20" s="446"/>
      <c r="H20" s="446"/>
      <c r="I20" s="1689"/>
      <c r="S20" s="442">
        <v>0</v>
      </c>
    </row>
    <row r="21" spans="1:19" ht="29.25" customHeight="1">
      <c r="C21" s="388"/>
      <c r="D21" s="476" t="s">
        <v>358</v>
      </c>
      <c r="E21" s="607"/>
      <c r="F21" s="1687" t="str">
        <f>IF(TEMPLATE_SPHERE="HEAT","Гкал/час","тыс. куб. м/сутки")</f>
        <v>Гкал/час</v>
      </c>
      <c r="G21" s="617"/>
      <c r="H21" s="617"/>
      <c r="I21" s="2802" t="str">
        <f>TP_P_NOTE_G_1</f>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S21" s="442">
        <v>28</v>
      </c>
    </row>
    <row r="22" spans="1:19" ht="15.75" customHeight="1">
      <c r="A22" s="442"/>
      <c r="C22" s="442"/>
      <c r="D22" s="285"/>
      <c r="E22" s="517" t="s">
        <v>1162</v>
      </c>
      <c r="F22" s="509"/>
      <c r="G22" s="509"/>
      <c r="H22" s="509"/>
      <c r="I22" s="2804"/>
      <c r="R22" s="442"/>
      <c r="S22" s="442">
        <v>15</v>
      </c>
    </row>
    <row r="23" spans="1:19" ht="22.5" hidden="1" customHeight="1">
      <c r="A23" s="386" t="s">
        <v>87</v>
      </c>
      <c r="B23" s="442">
        <v>0</v>
      </c>
      <c r="C23" s="620">
        <v>4</v>
      </c>
      <c r="D23" s="442">
        <v>6</v>
      </c>
      <c r="E23" s="442">
        <v>36</v>
      </c>
      <c r="F23" s="442">
        <v>9</v>
      </c>
      <c r="G23" s="693">
        <v>0</v>
      </c>
      <c r="H23" s="442">
        <v>40</v>
      </c>
      <c r="I23" s="354">
        <v>93</v>
      </c>
      <c r="J23" s="442">
        <v>10</v>
      </c>
      <c r="K23" s="442">
        <v>10</v>
      </c>
      <c r="L23" s="442">
        <v>10</v>
      </c>
      <c r="M23" s="442">
        <v>10</v>
      </c>
      <c r="N23" s="442">
        <v>10</v>
      </c>
      <c r="O23" s="442">
        <v>10</v>
      </c>
      <c r="P23" s="442">
        <v>10</v>
      </c>
      <c r="Q23" s="442">
        <v>10</v>
      </c>
      <c r="R23" s="612">
        <v>10</v>
      </c>
      <c r="S23" s="442">
        <v>23</v>
      </c>
    </row>
  </sheetData>
  <sheetProtection formatColumns="0" formatRows="0" insertRows="0" deleteColumns="0" deleteRows="0" sort="0" autoFilter="0"/>
  <mergeCells count="8">
    <mergeCell ref="I21:I22"/>
    <mergeCell ref="I9:I13"/>
    <mergeCell ref="D5:H5"/>
    <mergeCell ref="D6:H6"/>
    <mergeCell ref="E9:F9"/>
    <mergeCell ref="E10:F10"/>
    <mergeCell ref="E11:F11"/>
    <mergeCell ref="D12:F12"/>
  </mergeCells>
  <dataValidations count="4">
    <dataValidation type="decimal" allowBlank="1" showErrorMessage="1" errorTitle="Ошибка" error="Допускается ввод только действительных чисел!" sqref="G2:H2 G21:H21">
      <formula1>-9.99999999999999E+23</formula1>
      <formula2>9.99999999999999E+23</formula2>
    </dataValidation>
    <dataValidation type="whole" allowBlank="1" showErrorMessage="1" errorTitle="Ошибка" error="Допускается ввод только неотрицательных целых чисел!" sqref="G15:H17">
      <formula1>0</formula1>
      <formula2>9.99999999999999E+23</formula2>
    </dataValidation>
    <dataValidation type="textLength" operator="lessThanOrEqual" allowBlank="1" showInputMessage="1" showErrorMessage="1" errorTitle="Ошибка" error="Допускается ввод не более 900 символов!" sqref="E21 E2 G18:H18">
      <formula1>900</formula1>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pageSetUpPr fitToPage="1"/>
  </sheetPr>
  <dimension ref="A1:Q32"/>
  <sheetViews>
    <sheetView showGridLines="0" zoomScale="90" workbookViewId="0">
      <pane xSplit="5" ySplit="13" topLeftCell="F14" activePane="bottomRight" state="frozen"/>
      <selection pane="topRight" activeCell="F1" sqref="F1"/>
      <selection pane="bottomLeft" activeCell="A14" sqref="A14"/>
      <selection pane="bottomRight"/>
    </sheetView>
  </sheetViews>
  <sheetFormatPr defaultColWidth="10.5703125" defaultRowHeight="14.25" customHeight="1"/>
  <cols>
    <col min="1" max="1" width="9.140625" style="2007" hidden="1" customWidth="1"/>
    <col min="2" max="2" width="9.140625" style="1293" hidden="1" customWidth="1"/>
    <col min="3" max="3" width="3" style="282" customWidth="1"/>
    <col min="4" max="4" width="6" style="1562" customWidth="1"/>
    <col min="5" max="6" width="64" style="1562" customWidth="1"/>
    <col min="7" max="7" width="140" style="1562" customWidth="1"/>
    <col min="8" max="8" width="10" style="1562" customWidth="1"/>
    <col min="9" max="10" width="10" style="1551" customWidth="1"/>
    <col min="11" max="16" width="10" style="1562" customWidth="1"/>
    <col min="17" max="17" width="10.5703125" style="1562" hidden="1"/>
  </cols>
  <sheetData>
    <row r="1" spans="1:17" ht="22.5" hidden="1" customHeight="1">
      <c r="M1" s="193"/>
      <c r="N1" s="193"/>
      <c r="P1" s="193"/>
      <c r="Q1" s="23" t="s">
        <v>14</v>
      </c>
    </row>
    <row r="2" spans="1:17" ht="14.25" hidden="1" customHeight="1">
      <c r="Q2" s="23">
        <v>0</v>
      </c>
    </row>
    <row r="3" spans="1:17" ht="14.25" hidden="1" customHeight="1">
      <c r="Q3" s="23">
        <v>0</v>
      </c>
    </row>
    <row r="4" spans="1:17" ht="3" customHeight="1">
      <c r="C4" s="36"/>
      <c r="D4" s="24"/>
      <c r="E4" s="24"/>
      <c r="F4" s="25"/>
      <c r="G4" s="25"/>
      <c r="Q4" s="23">
        <v>3</v>
      </c>
    </row>
    <row r="5" spans="1:17" ht="29.25" customHeight="1">
      <c r="C5" s="36"/>
      <c r="D5" s="2810" t="str">
        <f>TERMS_NAME_FORM</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E5" s="2811"/>
      <c r="F5" s="2811"/>
      <c r="G5" s="2812"/>
      <c r="Q5" s="23">
        <v>28</v>
      </c>
    </row>
    <row r="6" spans="1:17" s="1562" customFormat="1" ht="18.75" customHeight="1">
      <c r="A6" s="812"/>
      <c r="B6" s="354"/>
      <c r="C6" s="313"/>
      <c r="D6" s="2871" t="str">
        <f>IF(org=0,"Не определено",org)</f>
        <v>ТМУП "ТТС"</v>
      </c>
      <c r="E6" s="2872"/>
      <c r="F6" s="2872"/>
      <c r="G6" s="2873"/>
      <c r="I6" s="437"/>
      <c r="J6" s="437"/>
      <c r="Q6" s="693">
        <v>18</v>
      </c>
    </row>
    <row r="7" spans="1:17" ht="15" customHeight="1">
      <c r="C7" s="36"/>
      <c r="D7" s="24"/>
      <c r="E7" s="35"/>
      <c r="F7" s="689"/>
      <c r="G7" s="131"/>
      <c r="Q7" s="23">
        <v>14</v>
      </c>
    </row>
    <row r="8" spans="1:17" s="1562" customFormat="1" ht="0.75" customHeight="1">
      <c r="A8" s="1596"/>
      <c r="B8" s="1087"/>
      <c r="C8" s="313"/>
      <c r="D8" s="300"/>
      <c r="E8" s="326"/>
      <c r="F8" s="689"/>
      <c r="G8" s="131"/>
      <c r="I8" s="1551"/>
      <c r="J8" s="1551"/>
      <c r="Q8" s="1558">
        <v>1</v>
      </c>
    </row>
    <row r="9" spans="1:17" ht="15" customHeight="1">
      <c r="C9" s="36"/>
      <c r="D9" s="2857" t="s">
        <v>345</v>
      </c>
      <c r="E9" s="2857"/>
      <c r="F9" s="2857"/>
      <c r="G9" s="3001" t="s">
        <v>346</v>
      </c>
      <c r="Q9" s="23">
        <v>14</v>
      </c>
    </row>
    <row r="10" spans="1:17" ht="24" customHeight="1">
      <c r="C10" s="36"/>
      <c r="D10" s="45" t="s">
        <v>93</v>
      </c>
      <c r="E10" s="48" t="s">
        <v>347</v>
      </c>
      <c r="F10" s="48" t="s">
        <v>435</v>
      </c>
      <c r="G10" s="3001"/>
      <c r="Q10" s="23">
        <v>23</v>
      </c>
    </row>
    <row r="11" spans="1:17" ht="12" hidden="1" customHeight="1">
      <c r="C11" s="36"/>
      <c r="D11" s="27"/>
      <c r="E11" s="27"/>
      <c r="F11" s="27"/>
      <c r="G11" s="27"/>
      <c r="Q11" s="23">
        <v>0</v>
      </c>
    </row>
    <row r="12" spans="1:17" ht="65.25" customHeight="1">
      <c r="A12" s="130"/>
      <c r="C12" s="36"/>
      <c r="D12" s="85">
        <v>1</v>
      </c>
      <c r="E12" s="135" t="str">
        <f>TERMS_P_1</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F12" s="136" t="s">
        <v>351</v>
      </c>
      <c r="G12" s="89"/>
      <c r="Q12" s="23">
        <v>62</v>
      </c>
    </row>
    <row r="13" spans="1:17" ht="24" customHeight="1">
      <c r="A13" s="130"/>
      <c r="C13" s="36"/>
      <c r="D13" s="85" t="s">
        <v>1067</v>
      </c>
      <c r="E13" s="132" t="str">
        <f>"Форма публичного договора "&amp;IF(TEMPLATE_SPHERE="TKO","на оказание регулируемых услуг","поставки товаров (оказания услуг)")&amp;IF(OR(TEMPLATE_SPHERE&lt;&gt;"HEAT",TEMPLATE_SPHERE&lt;&gt;"TKO"),", тарифы на которые подлежат регулированию","")</f>
        <v>Форма публичного договора поставки товаров (оказания услуг), тарифы на которые подлежат регулированию</v>
      </c>
      <c r="F13" s="136" t="s">
        <v>351</v>
      </c>
      <c r="G13" s="89"/>
      <c r="Q13" s="23">
        <v>23</v>
      </c>
    </row>
    <row r="14" spans="1:17" ht="15" customHeight="1">
      <c r="A14" s="130"/>
      <c r="C14" s="36"/>
      <c r="D14" s="85" t="s">
        <v>1103</v>
      </c>
      <c r="E14" s="133"/>
      <c r="F14" s="151"/>
      <c r="G14" s="2802" t="str">
        <f>"Указывается форма "&amp;IF(TEMPLATE_SPHERE="TKO","публичного ","")&amp;"договора, "&amp;IF(TEMPLATE_SPHERE="HEAT","","используемая регулируемой организацией, ")&amp;"в виде ссылки на документ, предварительно загруженный в хранилище файлов ФГИС ЕИАС"&amp;IF(TEMPLATE_SPHERE="TKO",", либо ссылка на официальный сайт в сети ""Интернет"", на котором размещена информация","")&amp;".
В случае наличия нескольких форм таких договоров информация по каждой из них указывается в отдельной строке."</f>
        <v>Указывается форма договора, в виде ссылки на документ, предварительно загруженный в хранилище файлов ФГИС ЕИАС.
В случае наличия нескольких форм таких договоров информация по каждой из них указывается в отдельной строке.</v>
      </c>
      <c r="Q14" s="23">
        <v>14</v>
      </c>
    </row>
    <row r="15" spans="1:17" ht="15.75" customHeight="1">
      <c r="A15" s="130"/>
      <c r="C15" s="36"/>
      <c r="D15" s="49"/>
      <c r="E15" s="286" t="s">
        <v>1163</v>
      </c>
      <c r="F15" s="139"/>
      <c r="G15" s="2804"/>
      <c r="Q15" s="23">
        <v>15</v>
      </c>
    </row>
    <row r="16" spans="1:17" ht="15" customHeight="1">
      <c r="A16" s="130"/>
      <c r="C16" s="36"/>
      <c r="D16" s="85" t="s">
        <v>1069</v>
      </c>
      <c r="E16" s="132" t="str">
        <f>"Договор о подключении (технологическом присоединении) к"&amp;IF(TEMPLATE_SPHERE="HEAT",""," централизованной")&amp;" системе "&amp;TEMPLATE_SPHERE_RUS</f>
        <v>Договор о подключении (технологическом присоединении) к системе теплоснабжения</v>
      </c>
      <c r="F16" s="136" t="s">
        <v>351</v>
      </c>
      <c r="G16" s="275"/>
      <c r="Q16" s="23">
        <v>14</v>
      </c>
    </row>
    <row r="17" spans="1:17" ht="15" customHeight="1">
      <c r="A17" s="130"/>
      <c r="C17" s="36"/>
      <c r="D17" s="85" t="s">
        <v>1111</v>
      </c>
      <c r="E17" s="133"/>
      <c r="F17" s="322"/>
      <c r="G17" s="2802" t="str">
        <f>"Информация размещается в случае, если"&amp;IF(TEMPLATE_SPHERE="HEAT",""," регулируемая")&amp;" организация осуществляет услуги по подключению (технологическому присоединению) к системе "&amp;TEMPLATE_SPHERE_RUS&amp;".
Указывается ссылка на документ, предварительно загруженный в хранилище файлов ФГИС ЕИАС.
В случае наличия нескольких договоров о подключении к"&amp;IF(TEMPLATE_SPHERE="HEAT",""," централизованной")&amp;" системе "&amp;TEMPLATE_SPHERE_RUS&amp;" информация по каждому из них указывается в отдельной строке."</f>
        <v>Информация размещается в случае, если организация осуществляет услуги по подключению (технологическому присоединению) к системе теплоснабжения.
Указывается ссылка на документ, предварительно загруженный в хранилище файлов ФГИС ЕИАС.
В случае наличия нескольких договоров о подключении к системе теплоснабжения информация по каждому из них указывается в отдельной строке.</v>
      </c>
      <c r="Q17" s="23">
        <v>14</v>
      </c>
    </row>
    <row r="18" spans="1:17" s="1562" customFormat="1" ht="21.75" customHeight="1">
      <c r="A18" s="281"/>
      <c r="B18" s="84"/>
      <c r="C18" s="245"/>
      <c r="D18" s="285"/>
      <c r="E18" s="286" t="s">
        <v>1164</v>
      </c>
      <c r="F18" s="276"/>
      <c r="G18" s="2804"/>
      <c r="I18" s="287"/>
      <c r="J18" s="287"/>
      <c r="Q18" s="280">
        <v>21</v>
      </c>
    </row>
    <row r="19" spans="1:17" s="1562" customFormat="1" ht="256.5" hidden="1" customHeight="1">
      <c r="A19" s="281"/>
      <c r="B19" s="354"/>
      <c r="C19" s="313"/>
      <c r="D19" s="814" t="s">
        <v>1071</v>
      </c>
      <c r="E19" s="813" t="s">
        <v>1165</v>
      </c>
      <c r="F19" s="322"/>
      <c r="G19" s="275" t="s">
        <v>1166</v>
      </c>
      <c r="I19" s="437"/>
      <c r="J19" s="437"/>
      <c r="Q19" s="693">
        <v>0</v>
      </c>
    </row>
    <row r="20" spans="1:17" s="1562" customFormat="1" ht="15" customHeight="1">
      <c r="A20" s="281"/>
      <c r="B20" s="84"/>
      <c r="C20" s="245"/>
      <c r="D20" s="815">
        <v>2</v>
      </c>
      <c r="E20" s="268" t="s">
        <v>1167</v>
      </c>
      <c r="F20" s="136" t="s">
        <v>351</v>
      </c>
      <c r="G20" s="275"/>
      <c r="I20" s="287"/>
      <c r="J20" s="287"/>
      <c r="Q20" s="280">
        <v>14</v>
      </c>
    </row>
    <row r="21" spans="1:17" s="1562" customFormat="1" ht="18.75" hidden="1" customHeight="1">
      <c r="A21" s="281"/>
      <c r="B21" s="84"/>
      <c r="C21" s="245"/>
      <c r="D21" s="271" t="s">
        <v>682</v>
      </c>
      <c r="E21" s="270"/>
      <c r="F21" s="269"/>
      <c r="G21" s="279"/>
      <c r="H21" s="272"/>
      <c r="I21" s="287"/>
      <c r="J21" s="287"/>
      <c r="Q21" s="280">
        <v>0</v>
      </c>
    </row>
    <row r="22" spans="1:17" ht="15.75" customHeight="1">
      <c r="A22" s="130"/>
      <c r="C22" s="36"/>
      <c r="D22" s="49"/>
      <c r="E22" s="141" t="s">
        <v>367</v>
      </c>
      <c r="F22" s="276"/>
      <c r="G22" s="277"/>
      <c r="Q22" s="23">
        <v>15</v>
      </c>
    </row>
    <row r="23" spans="1:17" s="1562" customFormat="1" ht="22.5" hidden="1" customHeight="1">
      <c r="A23" s="281"/>
      <c r="B23" s="1087"/>
      <c r="C23" s="313"/>
      <c r="D23" s="1600" t="s">
        <v>115</v>
      </c>
      <c r="E23" s="135" t="s">
        <v>1168</v>
      </c>
      <c r="F23" s="1597" t="s">
        <v>351</v>
      </c>
      <c r="G23" s="283"/>
      <c r="I23" s="1551"/>
      <c r="J23" s="1551"/>
      <c r="Q23" s="1558">
        <v>0</v>
      </c>
    </row>
    <row r="24" spans="1:17" s="1562" customFormat="1" ht="14.25" hidden="1" customHeight="1">
      <c r="A24" s="281"/>
      <c r="B24" s="1087"/>
      <c r="C24" s="313"/>
      <c r="D24" s="1600" t="s">
        <v>754</v>
      </c>
      <c r="E24" s="1599" t="s">
        <v>1169</v>
      </c>
      <c r="F24" s="1597" t="s">
        <v>351</v>
      </c>
      <c r="G24" s="275"/>
      <c r="I24" s="1551"/>
      <c r="J24" s="1551"/>
      <c r="Q24" s="1558">
        <v>0</v>
      </c>
    </row>
    <row r="25" spans="1:17" s="1562" customFormat="1" ht="14.25" hidden="1" customHeight="1">
      <c r="A25" s="281"/>
      <c r="B25" s="1087"/>
      <c r="C25" s="313"/>
      <c r="D25" s="1600" t="s">
        <v>757</v>
      </c>
      <c r="E25" s="133"/>
      <c r="F25" s="322"/>
      <c r="G25" s="2802" t="s">
        <v>1170</v>
      </c>
      <c r="I25" s="1551"/>
      <c r="J25" s="1551"/>
      <c r="Q25" s="1558">
        <v>0</v>
      </c>
    </row>
    <row r="26" spans="1:17" s="1562" customFormat="1" ht="22.5" hidden="1" customHeight="1">
      <c r="A26" s="281"/>
      <c r="B26" s="1087"/>
      <c r="C26" s="313"/>
      <c r="D26" s="285"/>
      <c r="E26" s="286" t="s">
        <v>1171</v>
      </c>
      <c r="F26" s="276"/>
      <c r="G26" s="2804"/>
      <c r="I26" s="1551"/>
      <c r="J26" s="1551"/>
      <c r="Q26" s="1558">
        <v>0</v>
      </c>
    </row>
    <row r="27" spans="1:17" ht="3" customHeight="1">
      <c r="Q27" s="23">
        <v>3</v>
      </c>
    </row>
    <row r="28" spans="1:17" ht="15" customHeight="1">
      <c r="D28" s="274"/>
      <c r="E28" s="273"/>
      <c r="F28" s="253"/>
      <c r="G28" s="253"/>
      <c r="H28" s="253"/>
      <c r="I28" s="253"/>
      <c r="J28" s="253"/>
      <c r="K28" s="253"/>
      <c r="L28" s="253"/>
      <c r="M28" s="253"/>
      <c r="N28" s="253"/>
      <c r="O28" s="253"/>
      <c r="P28" s="253"/>
      <c r="Q28" s="23">
        <v>14</v>
      </c>
    </row>
    <row r="29" spans="1:17" ht="15" customHeight="1">
      <c r="D29" s="274"/>
      <c r="E29" s="519"/>
      <c r="Q29" s="23">
        <v>14</v>
      </c>
    </row>
    <row r="30" spans="1:17" ht="15" customHeight="1">
      <c r="Q30" s="23">
        <v>14</v>
      </c>
    </row>
    <row r="31" spans="1:17" ht="15" customHeight="1">
      <c r="E31" s="693"/>
      <c r="Q31" s="23">
        <v>14</v>
      </c>
    </row>
    <row r="32" spans="1:17" ht="22.5" hidden="1" customHeight="1">
      <c r="A32" s="41" t="s">
        <v>87</v>
      </c>
      <c r="B32" s="84">
        <v>0</v>
      </c>
      <c r="C32" s="37">
        <v>3</v>
      </c>
      <c r="D32" s="23">
        <v>6</v>
      </c>
      <c r="E32" s="23">
        <v>64</v>
      </c>
      <c r="F32" s="23">
        <v>64</v>
      </c>
      <c r="G32" s="23">
        <v>140</v>
      </c>
      <c r="H32" s="23">
        <v>10</v>
      </c>
      <c r="I32" s="93">
        <v>10</v>
      </c>
      <c r="J32" s="93">
        <v>10</v>
      </c>
      <c r="K32" s="23">
        <v>10</v>
      </c>
      <c r="L32" s="23">
        <v>10</v>
      </c>
      <c r="M32" s="23">
        <v>10</v>
      </c>
      <c r="N32" s="23">
        <v>10</v>
      </c>
      <c r="O32" s="23">
        <v>10</v>
      </c>
      <c r="P32" s="23">
        <v>10</v>
      </c>
      <c r="Q32" s="23">
        <v>23</v>
      </c>
    </row>
  </sheetData>
  <sheetProtection formatColumns="0" formatRows="0" insertRows="0" deleteColumns="0" deleteRows="0" sort="0" autoFilter="0"/>
  <mergeCells count="7">
    <mergeCell ref="D5:G5"/>
    <mergeCell ref="D6:G6"/>
    <mergeCell ref="G25:G26"/>
    <mergeCell ref="G17:G18"/>
    <mergeCell ref="D9:F9"/>
    <mergeCell ref="G9:G10"/>
    <mergeCell ref="G14:G15"/>
  </mergeCells>
  <dataValidations count="2">
    <dataValidation type="textLength" operator="lessThanOrEqual" allowBlank="1" showInputMessage="1" showErrorMessage="1" errorTitle="Ошибка" error="Допускается ввод не более 900 символов!" sqref="G14 G25 E17 E14 G17 G21 E25">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14 F17:F19 F25:F26">
      <formula1>900</formula1>
    </dataValidation>
  </dataValidations>
  <printOptions horizontalCentered="1" verticalCentered="1"/>
  <pageMargins left="0" right="0" top="0" bottom="0" header="0" footer="0.79"/>
  <pageSetup paperSize="9" scale="41" fitToHeight="0" orientation="portrait" blackAndWhite="1"/>
  <headerFooter>
    <oddHeader>&amp;L&amp;C&amp;R</oddHeader>
    <oddFooter>&amp;L&amp;C&amp;R</oddFooter>
    <evenHeader>&amp;L&amp;C&amp;R</evenHeader>
    <evenFooter>&amp;L&amp;C&amp;R</evenFoot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M43"/>
  <sheetViews>
    <sheetView showGridLines="0" zoomScale="90" workbookViewId="0">
      <pane xSplit="6" ySplit="21" topLeftCell="G22" activePane="bottomRight" state="frozen"/>
      <selection pane="topRight" activeCell="G1" sqref="G1"/>
      <selection pane="bottomLeft" activeCell="A22" sqref="A22"/>
      <selection pane="bottomRight"/>
    </sheetView>
  </sheetViews>
  <sheetFormatPr defaultColWidth="10.5703125" defaultRowHeight="14.25" customHeight="1"/>
  <cols>
    <col min="1" max="1" width="9.140625" style="1702" hidden="1" customWidth="1"/>
    <col min="2" max="2" width="9.140625" style="1293" hidden="1" customWidth="1"/>
    <col min="3" max="3" width="3" style="282" customWidth="1"/>
    <col min="4" max="4" width="6" style="1562" customWidth="1"/>
    <col min="5" max="5" width="63" style="1562" customWidth="1"/>
    <col min="6" max="6" width="1.7109375" style="1562" hidden="1" customWidth="1"/>
    <col min="7" max="8" width="35" style="1562" customWidth="1"/>
    <col min="9" max="9" width="91" style="1562" customWidth="1"/>
    <col min="10" max="10" width="68" style="1562" customWidth="1"/>
    <col min="11" max="12" width="10" style="1551" customWidth="1"/>
    <col min="13" max="13" width="10.5703125" style="1562" hidden="1"/>
  </cols>
  <sheetData>
    <row r="1" spans="1:13" ht="22.5" hidden="1" customHeight="1">
      <c r="M1" s="23" t="s">
        <v>14</v>
      </c>
    </row>
    <row r="2" spans="1:13" s="1562" customFormat="1" ht="18.75" hidden="1" customHeight="1">
      <c r="A2" s="1610"/>
      <c r="B2" s="1087"/>
      <c r="C2" s="1656" t="s">
        <v>179</v>
      </c>
      <c r="D2" s="1600"/>
      <c r="E2" s="137"/>
      <c r="F2" s="1597"/>
      <c r="G2" s="1597" t="s">
        <v>351</v>
      </c>
      <c r="H2" s="1088"/>
      <c r="K2" s="1551"/>
      <c r="L2" s="1551"/>
      <c r="M2" s="1558">
        <v>0</v>
      </c>
    </row>
    <row r="3" spans="1:13" s="1562" customFormat="1" ht="14.25" hidden="1" customHeight="1">
      <c r="A3" s="1289"/>
      <c r="B3" s="1087"/>
      <c r="C3" s="282"/>
      <c r="K3" s="1551"/>
      <c r="L3" s="1551"/>
      <c r="M3" s="1558">
        <v>0</v>
      </c>
    </row>
    <row r="4" spans="1:13" s="1562" customFormat="1" ht="18.75" hidden="1" customHeight="1">
      <c r="A4" s="1610"/>
      <c r="B4" s="1087"/>
      <c r="C4" s="1656" t="s">
        <v>179</v>
      </c>
      <c r="D4" s="1600"/>
      <c r="E4" s="143" t="s">
        <v>1172</v>
      </c>
      <c r="F4" s="1597"/>
      <c r="G4" s="195"/>
      <c r="H4" s="1597" t="s">
        <v>351</v>
      </c>
      <c r="K4" s="1551"/>
      <c r="L4" s="1551"/>
      <c r="M4" s="1558">
        <v>0</v>
      </c>
    </row>
    <row r="5" spans="1:13" s="1562" customFormat="1" ht="14.25" hidden="1" customHeight="1">
      <c r="A5" s="1289"/>
      <c r="B5" s="1087"/>
      <c r="C5" s="282"/>
      <c r="K5" s="1551"/>
      <c r="L5" s="1551"/>
      <c r="M5" s="1558">
        <v>0</v>
      </c>
    </row>
    <row r="6" spans="1:13" s="1562" customFormat="1" ht="18.75" hidden="1" customHeight="1">
      <c r="A6" s="1610"/>
      <c r="B6" s="1087"/>
      <c r="C6" s="1656" t="s">
        <v>179</v>
      </c>
      <c r="D6" s="1600"/>
      <c r="E6" s="144" t="s">
        <v>1173</v>
      </c>
      <c r="F6" s="1597"/>
      <c r="G6" s="195"/>
      <c r="H6" s="1597" t="s">
        <v>351</v>
      </c>
      <c r="K6" s="1551"/>
      <c r="L6" s="1551"/>
      <c r="M6" s="1558">
        <v>0</v>
      </c>
    </row>
    <row r="7" spans="1:13" s="1562" customFormat="1" ht="14.25" hidden="1" customHeight="1">
      <c r="A7" s="1289"/>
      <c r="B7" s="1087"/>
      <c r="C7" s="282"/>
      <c r="K7" s="1551"/>
      <c r="L7" s="1551"/>
      <c r="M7" s="1558">
        <v>0</v>
      </c>
    </row>
    <row r="8" spans="1:13" s="1562" customFormat="1" ht="18.75" hidden="1" customHeight="1">
      <c r="A8" s="1610"/>
      <c r="B8" s="1087"/>
      <c r="C8" s="1656" t="s">
        <v>179</v>
      </c>
      <c r="D8" s="1600"/>
      <c r="E8" s="144" t="s">
        <v>1174</v>
      </c>
      <c r="F8" s="1597"/>
      <c r="G8" s="195"/>
      <c r="H8" s="1597" t="s">
        <v>351</v>
      </c>
      <c r="K8" s="1551"/>
      <c r="L8" s="1551"/>
      <c r="M8" s="1558">
        <v>0</v>
      </c>
    </row>
    <row r="9" spans="1:13" s="1562" customFormat="1" ht="14.25" hidden="1" customHeight="1">
      <c r="A9" s="1289"/>
      <c r="B9" s="1087"/>
      <c r="C9" s="282"/>
      <c r="K9" s="1551"/>
      <c r="L9" s="1551"/>
      <c r="M9" s="1558">
        <v>0</v>
      </c>
    </row>
    <row r="10" spans="1:13" s="1562" customFormat="1" ht="18.75" hidden="1" customHeight="1">
      <c r="A10" s="1610"/>
      <c r="B10" s="1087"/>
      <c r="C10" s="1656" t="s">
        <v>179</v>
      </c>
      <c r="D10" s="1600"/>
      <c r="E10" s="144" t="s">
        <v>1175</v>
      </c>
      <c r="F10" s="1597"/>
      <c r="G10" s="1601"/>
      <c r="H10" s="1597" t="s">
        <v>351</v>
      </c>
      <c r="K10" s="1551"/>
      <c r="L10" s="1551" t="s">
        <v>1176</v>
      </c>
      <c r="M10" s="1558">
        <v>0</v>
      </c>
    </row>
    <row r="11" spans="1:13" ht="14.25" hidden="1" customHeight="1">
      <c r="M11" s="23">
        <v>0</v>
      </c>
    </row>
    <row r="12" spans="1:13" ht="14.25" hidden="1" customHeight="1">
      <c r="M12" s="23">
        <v>0</v>
      </c>
    </row>
    <row r="13" spans="1:13" ht="15" customHeight="1">
      <c r="C13" s="36"/>
      <c r="D13" s="24"/>
      <c r="E13" s="24"/>
      <c r="F13" s="24"/>
      <c r="G13" s="24"/>
      <c r="H13" s="25"/>
      <c r="I13" s="25"/>
      <c r="M13" s="23">
        <v>14</v>
      </c>
    </row>
    <row r="14" spans="1:13" ht="29.25" customHeight="1">
      <c r="C14" s="36"/>
      <c r="D14" s="2810" t="str">
        <f>PROCEDURE_TC_NAME_FORM</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E14" s="2811"/>
      <c r="F14" s="2811"/>
      <c r="G14" s="2811"/>
      <c r="H14" s="2812"/>
      <c r="J14" s="1558"/>
      <c r="M14" s="23">
        <v>28</v>
      </c>
    </row>
    <row r="15" spans="1:13" s="1562" customFormat="1" ht="15" customHeight="1">
      <c r="A15" s="1289"/>
      <c r="B15" s="1087"/>
      <c r="C15" s="313"/>
      <c r="D15" s="2871" t="str">
        <f>IF(org=0,"Не определено",org)</f>
        <v>ТМУП "ТТС"</v>
      </c>
      <c r="E15" s="2872"/>
      <c r="F15" s="2872"/>
      <c r="G15" s="2872"/>
      <c r="H15" s="2873"/>
      <c r="J15" s="783"/>
      <c r="K15" s="1551"/>
      <c r="L15" s="1551"/>
      <c r="M15" s="1558">
        <v>14</v>
      </c>
    </row>
    <row r="16" spans="1:13" ht="15" customHeight="1">
      <c r="C16" s="36"/>
      <c r="D16" s="24"/>
      <c r="E16" s="35"/>
      <c r="F16" s="35"/>
      <c r="G16" s="35"/>
      <c r="H16" s="689"/>
      <c r="I16" s="131"/>
      <c r="M16" s="23">
        <v>14</v>
      </c>
    </row>
    <row r="17" spans="1:13" s="1562" customFormat="1" ht="14.25" hidden="1" customHeight="1">
      <c r="A17" s="1289"/>
      <c r="B17" s="1087"/>
      <c r="C17" s="313"/>
      <c r="D17" s="300"/>
      <c r="E17" s="326"/>
      <c r="F17" s="326"/>
      <c r="G17" s="326"/>
      <c r="H17" s="689"/>
      <c r="I17" s="131"/>
      <c r="K17" s="1551"/>
      <c r="L17" s="1551"/>
      <c r="M17" s="1558">
        <v>0</v>
      </c>
    </row>
    <row r="18" spans="1:13" ht="21.75" customHeight="1">
      <c r="C18" s="36"/>
      <c r="D18" s="2857" t="s">
        <v>345</v>
      </c>
      <c r="E18" s="2857"/>
      <c r="F18" s="2857"/>
      <c r="G18" s="2857"/>
      <c r="H18" s="2857"/>
      <c r="I18" s="3001" t="s">
        <v>346</v>
      </c>
      <c r="M18" s="23">
        <v>21</v>
      </c>
    </row>
    <row r="19" spans="1:13" ht="21.75" customHeight="1">
      <c r="C19" s="36"/>
      <c r="D19" s="45" t="s">
        <v>93</v>
      </c>
      <c r="E19" s="48" t="s">
        <v>347</v>
      </c>
      <c r="F19" s="48"/>
      <c r="G19" s="48" t="s">
        <v>348</v>
      </c>
      <c r="H19" s="48" t="s">
        <v>435</v>
      </c>
      <c r="I19" s="3001"/>
      <c r="M19" s="23">
        <v>21</v>
      </c>
    </row>
    <row r="20" spans="1:13" ht="12" hidden="1" customHeight="1">
      <c r="C20" s="36"/>
      <c r="D20" s="27"/>
      <c r="E20" s="27"/>
      <c r="F20" s="27"/>
      <c r="G20" s="27"/>
      <c r="H20" s="27"/>
      <c r="I20" s="27"/>
      <c r="M20" s="23">
        <v>0</v>
      </c>
    </row>
    <row r="21" spans="1:13" ht="15" customHeight="1">
      <c r="A21" s="1610"/>
      <c r="C21" s="36"/>
      <c r="D21" s="85">
        <v>1</v>
      </c>
      <c r="E21" s="3052" t="s">
        <v>1177</v>
      </c>
      <c r="F21" s="3052"/>
      <c r="G21" s="3052"/>
      <c r="H21" s="3052"/>
      <c r="I21" s="146"/>
      <c r="M21" s="23">
        <v>14</v>
      </c>
    </row>
    <row r="22" spans="1:13" ht="21" customHeight="1">
      <c r="A22" s="1610"/>
      <c r="C22" s="36"/>
      <c r="D22" s="85" t="s">
        <v>1067</v>
      </c>
      <c r="E22" s="132" t="s">
        <v>1178</v>
      </c>
      <c r="F22" s="136"/>
      <c r="G22" s="1663"/>
      <c r="H22" s="136" t="s">
        <v>351</v>
      </c>
      <c r="I22" s="89" t="s">
        <v>1179</v>
      </c>
      <c r="M22" s="23">
        <v>20</v>
      </c>
    </row>
    <row r="23" spans="1:13" ht="60" customHeight="1">
      <c r="A23" s="1610"/>
      <c r="C23" s="36"/>
      <c r="D23" s="85" t="s">
        <v>1069</v>
      </c>
      <c r="E23" s="132" t="s">
        <v>1180</v>
      </c>
      <c r="F23" s="136"/>
      <c r="G23" s="195"/>
      <c r="H23" s="151"/>
      <c r="I23" s="196" t="s">
        <v>1181</v>
      </c>
      <c r="M23" s="23">
        <v>57</v>
      </c>
    </row>
    <row r="24" spans="1:13" ht="15" customHeight="1">
      <c r="A24" s="1610"/>
      <c r="B24" s="84">
        <v>3</v>
      </c>
      <c r="C24" s="36"/>
      <c r="D24" s="85">
        <v>2</v>
      </c>
      <c r="E24" s="160" t="str">
        <f>"Форма заявки на заключение договора о подключении (технологическом присоединении) к системе "&amp;TEMPLATE_SPHERE_RUS</f>
        <v>Форма заявки на заключение договора о подключении (технологическом присоединении) к системе теплоснабжения</v>
      </c>
      <c r="F24" s="136"/>
      <c r="G24" s="136" t="s">
        <v>351</v>
      </c>
      <c r="H24" s="151"/>
      <c r="I24" s="197" t="s">
        <v>677</v>
      </c>
      <c r="M24" s="23">
        <v>14</v>
      </c>
    </row>
    <row r="25" spans="1:13" ht="48" customHeight="1">
      <c r="A25" s="1610"/>
      <c r="C25" s="36"/>
      <c r="D25" s="85">
        <v>3</v>
      </c>
      <c r="E25" s="3052" t="str">
        <f>"Перечень документов и сведений, представляемых одновременно "&amp;IF(TEMPLATE_SPHERE="HEAT","с заявкой на заключение","с заявлением о заключении")&amp;" договора о подключении (технологическом присоединении) к системе "&amp;TEMPLATE_SPHERE_RUS&amp;IF(TEMPLATE_SPHERE="HEAT","",", и указание на запрет требовать представления документов и сведений или осуществления действий, не предусмотренных законодательством Российской Федерации"&amp;" о градостроительной деятельности и законодательством Российской Федерации в сфере водоснабжения и водоотведения")</f>
        <v>Перечень документов и сведений, представляемых одновременно с заявкой на заключение договора о подключении (технологическом присоединении) к системе теплоснабжения</v>
      </c>
      <c r="F25" s="3052"/>
      <c r="G25" s="3052"/>
      <c r="H25" s="3052"/>
      <c r="I25" s="194"/>
      <c r="M25" s="23">
        <v>46</v>
      </c>
    </row>
    <row r="26" spans="1:13" ht="15" customHeight="1">
      <c r="A26" s="1610"/>
      <c r="C26" s="36"/>
      <c r="D26" s="85" t="s">
        <v>369</v>
      </c>
      <c r="E26" s="137"/>
      <c r="F26" s="136"/>
      <c r="G26" s="136" t="s">
        <v>351</v>
      </c>
      <c r="H26" s="151"/>
      <c r="I26" s="2802" t="s">
        <v>1182</v>
      </c>
      <c r="M26" s="23">
        <v>14</v>
      </c>
    </row>
    <row r="27" spans="1:13" ht="15.75" customHeight="1">
      <c r="A27" s="1610" t="s">
        <v>114</v>
      </c>
      <c r="C27" s="36"/>
      <c r="D27" s="49"/>
      <c r="E27" s="141" t="s">
        <v>367</v>
      </c>
      <c r="F27" s="142"/>
      <c r="G27" s="142"/>
      <c r="H27" s="139"/>
      <c r="I27" s="2804"/>
      <c r="M27" s="23">
        <v>15</v>
      </c>
    </row>
    <row r="28" spans="1:13" ht="39.75" customHeight="1">
      <c r="A28" s="1610"/>
      <c r="B28" s="84">
        <v>3</v>
      </c>
      <c r="C28" s="36"/>
      <c r="D28" s="85">
        <v>4</v>
      </c>
      <c r="E28" s="3052" t="str">
        <f>"Реквизиты нормативных правовых актов, регламентирующих порядок действий заявителя и "&amp;IF(TEMPLATE_SPHERE="HEAT","регулируемой ","")&amp;"организации"&amp;IF(TEMPLATE_SPHERE="HEAT",""," "&amp;TEMPLATE_SPHERE_RUS)&amp;" при подаче, приеме, обработке "&amp;IF(TEMPLATE_SPHERE="HEAT","заявки на заключение","заявления о заключении")&amp;" договора о подключении (технологическом присоединении) к системе "&amp;TEMPLATE_SPHERE_RUS&amp;IF(TEMPLATE_SPHERE="HEAT",""," (в том числе в форме электронного документа)")</f>
        <v>Реквизиты нормативных правовых актов, регламентирующих порядок действий заявителя и регулируемой организации при подаче, приеме, обработке заявки на заключение договора о подключении (технологическом присоединении) к системе теплоснабжения</v>
      </c>
      <c r="F28" s="3052"/>
      <c r="G28" s="3052"/>
      <c r="H28" s="3052"/>
      <c r="I28" s="194"/>
      <c r="M28" s="23">
        <v>38</v>
      </c>
    </row>
    <row r="29" spans="1:13" ht="21" customHeight="1">
      <c r="A29" s="1610"/>
      <c r="C29" s="36"/>
      <c r="D29" s="85" t="s">
        <v>799</v>
      </c>
      <c r="E29" s="143" t="s">
        <v>1172</v>
      </c>
      <c r="F29" s="136"/>
      <c r="G29" s="195"/>
      <c r="H29" s="136" t="s">
        <v>351</v>
      </c>
      <c r="I29" s="2802" t="s">
        <v>1183</v>
      </c>
      <c r="M29" s="23">
        <v>20</v>
      </c>
    </row>
    <row r="30" spans="1:13" ht="15.75" customHeight="1">
      <c r="A30" s="1610" t="s">
        <v>115</v>
      </c>
      <c r="C30" s="36"/>
      <c r="D30" s="49"/>
      <c r="E30" s="141" t="s">
        <v>367</v>
      </c>
      <c r="F30" s="142"/>
      <c r="G30" s="142"/>
      <c r="H30" s="139"/>
      <c r="I30" s="2804"/>
      <c r="M30" s="23">
        <v>15</v>
      </c>
    </row>
    <row r="31" spans="1:13" ht="31.5" customHeight="1">
      <c r="A31" s="1610"/>
      <c r="B31" s="84">
        <v>3</v>
      </c>
      <c r="C31" s="36"/>
      <c r="D31" s="85">
        <v>5</v>
      </c>
      <c r="E31" s="3052" t="str">
        <f>"Телефоны,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адреса и 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1" s="3052"/>
      <c r="G31" s="3052"/>
      <c r="H31" s="3052"/>
      <c r="I31" s="194"/>
      <c r="M31" s="23">
        <v>30</v>
      </c>
    </row>
    <row r="32" spans="1:13" ht="27" customHeight="1">
      <c r="A32" s="1610"/>
      <c r="C32" s="36"/>
      <c r="D32" s="85" t="s">
        <v>358</v>
      </c>
      <c r="E32" s="3015" t="str">
        <f>"телефоны службы, ответственной за прием и обработку заявок на заключение договора о подключении (технологическом присоединении) к системе "&amp;TEMPLATE_SPHERE_RUS</f>
        <v>телефоны службы, ответственной за прием и обработку заявок на заключение договора о подключении (технологическом присоединении) к системе теплоснабжения</v>
      </c>
      <c r="F32" s="3015"/>
      <c r="G32" s="3015"/>
      <c r="H32" s="3015"/>
      <c r="I32" s="194"/>
      <c r="M32" s="23">
        <v>26</v>
      </c>
    </row>
    <row r="33" spans="1:13" ht="15" customHeight="1">
      <c r="A33" s="1610"/>
      <c r="C33" s="36"/>
      <c r="D33" s="85" t="s">
        <v>1184</v>
      </c>
      <c r="E33" s="144" t="s">
        <v>1173</v>
      </c>
      <c r="F33" s="136"/>
      <c r="G33" s="195"/>
      <c r="H33" s="136" t="s">
        <v>351</v>
      </c>
      <c r="I33" s="2802" t="s">
        <v>1185</v>
      </c>
      <c r="M33" s="23">
        <v>14</v>
      </c>
    </row>
    <row r="34" spans="1:13" ht="15.75" customHeight="1">
      <c r="A34" s="1610" t="s">
        <v>95</v>
      </c>
      <c r="C34" s="36"/>
      <c r="D34" s="49"/>
      <c r="E34" s="142" t="s">
        <v>367</v>
      </c>
      <c r="F34" s="138"/>
      <c r="G34" s="138"/>
      <c r="H34" s="139"/>
      <c r="I34" s="2804"/>
      <c r="M34" s="23">
        <v>15</v>
      </c>
    </row>
    <row r="35" spans="1:13" ht="25.5" customHeight="1">
      <c r="A35" s="1610"/>
      <c r="C35" s="36"/>
      <c r="D35" s="85" t="s">
        <v>927</v>
      </c>
      <c r="E35" s="3015" t="str">
        <f>"адреса службы, ответственной за прием и обработку заявок на заключение договора о подключении (технологическом присоединении) к системе "&amp;TEMPLATE_SPHERE_RUS</f>
        <v>адреса службы, ответственной за прием и обработку заявок на заключение договора о подключении (технологическом присоединении) к системе теплоснабжения</v>
      </c>
      <c r="F35" s="3015"/>
      <c r="G35" s="3015"/>
      <c r="H35" s="3015"/>
      <c r="I35" s="194"/>
      <c r="M35" s="23">
        <v>24</v>
      </c>
    </row>
    <row r="36" spans="1:13" ht="15" customHeight="1">
      <c r="A36" s="1610"/>
      <c r="C36" s="36"/>
      <c r="D36" s="85" t="s">
        <v>1186</v>
      </c>
      <c r="E36" s="144" t="s">
        <v>1174</v>
      </c>
      <c r="F36" s="136"/>
      <c r="G36" s="195"/>
      <c r="H36" s="136" t="s">
        <v>351</v>
      </c>
      <c r="I36" s="2780" t="s">
        <v>1187</v>
      </c>
      <c r="M36" s="23">
        <v>14</v>
      </c>
    </row>
    <row r="37" spans="1:13" ht="15.75" customHeight="1">
      <c r="A37" s="1610" t="s">
        <v>96</v>
      </c>
      <c r="C37" s="36"/>
      <c r="D37" s="49"/>
      <c r="E37" s="142" t="s">
        <v>367</v>
      </c>
      <c r="F37" s="138"/>
      <c r="G37" s="138"/>
      <c r="H37" s="139"/>
      <c r="I37" s="2780"/>
      <c r="M37" s="23">
        <v>15</v>
      </c>
    </row>
    <row r="38" spans="1:13" ht="27" customHeight="1">
      <c r="A38" s="1610"/>
      <c r="C38" s="36"/>
      <c r="D38" s="85" t="s">
        <v>928</v>
      </c>
      <c r="E38" s="3015" t="str">
        <f>"график работы службы, ответственной за прием и обработку заявок на заключение договора о подключении (технологическом присоединении) к системе "&amp;TEMPLATE_SPHERE_RUS</f>
        <v>график работы службы, ответственной за прием и обработку заявок на заключение договора о подключении (технологическом присоединении) к системе теплоснабжения</v>
      </c>
      <c r="F38" s="3015"/>
      <c r="G38" s="3015"/>
      <c r="H38" s="3015"/>
      <c r="I38" s="194"/>
      <c r="M38" s="23">
        <v>26</v>
      </c>
    </row>
    <row r="39" spans="1:13" ht="15" customHeight="1">
      <c r="A39" s="1610"/>
      <c r="C39" s="36"/>
      <c r="D39" s="85" t="s">
        <v>929</v>
      </c>
      <c r="E39" s="144" t="s">
        <v>1175</v>
      </c>
      <c r="F39" s="136"/>
      <c r="G39" s="145"/>
      <c r="H39" s="136" t="s">
        <v>351</v>
      </c>
      <c r="I39" s="2802" t="s">
        <v>1188</v>
      </c>
      <c r="L39" s="93" t="s">
        <v>1176</v>
      </c>
      <c r="M39" s="23">
        <v>14</v>
      </c>
    </row>
    <row r="40" spans="1:13" ht="15.75" customHeight="1">
      <c r="A40" s="1610" t="s">
        <v>116</v>
      </c>
      <c r="C40" s="36"/>
      <c r="D40" s="49"/>
      <c r="E40" s="142" t="s">
        <v>367</v>
      </c>
      <c r="F40" s="138"/>
      <c r="G40" s="138"/>
      <c r="H40" s="139"/>
      <c r="I40" s="2804"/>
      <c r="M40" s="23">
        <v>15</v>
      </c>
    </row>
    <row r="41" spans="1:13" s="1748" customFormat="1" ht="3" customHeight="1">
      <c r="A41" s="1610"/>
      <c r="K41" s="134"/>
      <c r="L41" s="134"/>
      <c r="M41" s="79">
        <v>3</v>
      </c>
    </row>
    <row r="42" spans="1:13" ht="26.25" customHeight="1">
      <c r="D42" s="1608" t="s">
        <v>849</v>
      </c>
      <c r="E42" s="2895" t="str">
        <f>"Информация размещается в случае, если организация осуществляет услуги по подключению (технологическому присоединению) к системе "&amp;TEMPLATE_SPHERE_RUS&amp;"."</f>
        <v>Информация размещается в случае, если организация осуществляет услуги по подключению (технологическому присоединению) к системе теплоснабжения.</v>
      </c>
      <c r="F42" s="2895"/>
      <c r="G42" s="2895"/>
      <c r="H42" s="2895"/>
      <c r="I42" s="2895"/>
      <c r="M42" s="23">
        <v>25</v>
      </c>
    </row>
    <row r="43" spans="1:13" ht="22.5" hidden="1" customHeight="1">
      <c r="A43" s="1289" t="s">
        <v>87</v>
      </c>
      <c r="B43" s="84">
        <v>0</v>
      </c>
      <c r="C43" s="37">
        <v>3</v>
      </c>
      <c r="D43" s="23">
        <v>6</v>
      </c>
      <c r="E43" s="23">
        <v>63</v>
      </c>
      <c r="F43" s="23">
        <v>0</v>
      </c>
      <c r="G43" s="23">
        <v>35</v>
      </c>
      <c r="H43" s="23">
        <v>35</v>
      </c>
      <c r="I43" s="23">
        <v>91</v>
      </c>
      <c r="J43" s="23">
        <v>68</v>
      </c>
      <c r="K43" s="93">
        <v>10</v>
      </c>
      <c r="L43" s="93">
        <v>10</v>
      </c>
      <c r="M43" s="23">
        <v>23</v>
      </c>
    </row>
  </sheetData>
  <sheetProtection formatColumns="0" formatRows="0" insertRows="0" deleteColumns="0" deleteRows="0" sort="0" autoFilter="0"/>
  <mergeCells count="17">
    <mergeCell ref="E42:I42"/>
    <mergeCell ref="E32:H32"/>
    <mergeCell ref="E35:H35"/>
    <mergeCell ref="E38:H38"/>
    <mergeCell ref="I33:I34"/>
    <mergeCell ref="I36:I37"/>
    <mergeCell ref="I39:I40"/>
    <mergeCell ref="I29:I30"/>
    <mergeCell ref="E31:H31"/>
    <mergeCell ref="D14:H14"/>
    <mergeCell ref="D18:H18"/>
    <mergeCell ref="I18:I19"/>
    <mergeCell ref="E21:H21"/>
    <mergeCell ref="E25:H25"/>
    <mergeCell ref="I26:I27"/>
    <mergeCell ref="E28:H28"/>
    <mergeCell ref="D15:H15"/>
  </mergeCells>
  <dataValidations count="4">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2"/>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10 G39">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26 H23:H24 H2">
      <formula1>900</formula1>
    </dataValidation>
    <dataValidation type="textLength" operator="lessThanOrEqual" allowBlank="1" showInputMessage="1" showErrorMessage="1" errorTitle="Ошибка" error="Допускается ввод не более 900 символов!" sqref="I23:I24 I33 G36 I39 I26 E29 G33 E36 I29 E33 I36 G23 E26 I10 E23 G29 E10 G8 E2 I2 I4 G4 E4 E6 I6 G6 E8 I8 E39">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drawing r:id="rId1"/>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H402"/>
  <sheetViews>
    <sheetView showGridLines="0" zoomScale="90" workbookViewId="0">
      <pane xSplit="7" ySplit="21" topLeftCell="H341" activePane="bottomRight" state="frozen"/>
      <selection pane="topRight" activeCell="H1" sqref="H1"/>
      <selection pane="bottomLeft" activeCell="A22" sqref="A22"/>
      <selection pane="bottomRight" activeCell="G339" sqref="G339:G340"/>
    </sheetView>
  </sheetViews>
  <sheetFormatPr defaultColWidth="10.5703125" defaultRowHeight="14.25" customHeight="1"/>
  <cols>
    <col min="1" max="2" width="25.140625" style="1705" hidden="1" customWidth="1"/>
    <col min="3" max="3" width="9.140625" style="1614" hidden="1" customWidth="1"/>
    <col min="4" max="4" width="3" style="282" customWidth="1"/>
    <col min="5" max="5" width="6" style="1562" customWidth="1"/>
    <col min="6" max="6" width="25.5703125" style="1562" customWidth="1"/>
    <col min="7" max="7" width="35" style="1562" customWidth="1"/>
    <col min="8" max="8" width="3" style="1562" customWidth="1"/>
    <col min="9" max="10" width="11" style="1562" customWidth="1"/>
    <col min="11" max="11" width="20" style="1562" customWidth="1"/>
    <col min="12" max="12" width="35" style="1562" customWidth="1"/>
    <col min="13" max="13" width="84" style="1562" customWidth="1"/>
    <col min="14" max="14" width="10" style="1562" customWidth="1"/>
    <col min="15" max="16" width="10" style="1551" customWidth="1"/>
    <col min="17" max="33" width="10" style="1562" customWidth="1"/>
    <col min="34" max="34" width="10.5703125" style="1562" hidden="1"/>
  </cols>
  <sheetData>
    <row r="1" spans="1:34" s="1562" customFormat="1" ht="22.5" hidden="1" customHeight="1">
      <c r="A1" s="1705"/>
      <c r="B1" s="1705"/>
      <c r="C1" s="306"/>
      <c r="D1" s="282"/>
      <c r="N1" s="1563">
        <f>IFERROR(MATCH("метод экономически обоснованных расходов (затрат)",OFFER_METHOD,0),0)</f>
        <v>0</v>
      </c>
      <c r="O1" s="1551"/>
      <c r="P1" s="1551"/>
      <c r="T1" s="762"/>
      <c r="AG1" s="193"/>
      <c r="AH1" s="1558" t="s">
        <v>14</v>
      </c>
    </row>
    <row r="2" spans="1:34" s="1562" customFormat="1" ht="18.75" hidden="1" customHeight="1">
      <c r="A2" s="1706" t="s">
        <v>160</v>
      </c>
      <c r="B2" s="1706" t="s">
        <v>161</v>
      </c>
      <c r="C2" s="306"/>
      <c r="D2" s="282"/>
      <c r="E2" s="961"/>
      <c r="F2" s="961"/>
      <c r="G2" s="3028" t="str">
        <f>INDEX(PT_DIFFERENTIATION_NTAR,MATCH(B2,PT_DIFFERENTIATION_NTAR_ID,0))</f>
        <v/>
      </c>
      <c r="H2" s="1789"/>
      <c r="I2" s="1665"/>
      <c r="J2" s="1699"/>
      <c r="K2" s="1790"/>
      <c r="L2" s="1789" t="s">
        <v>351</v>
      </c>
      <c r="M2" s="1800"/>
      <c r="N2" s="272"/>
      <c r="O2" s="1551"/>
      <c r="P2" s="1551"/>
      <c r="AH2" s="1558">
        <v>0</v>
      </c>
    </row>
    <row r="3" spans="1:34" s="1562" customFormat="1" ht="18.75" hidden="1" customHeight="1">
      <c r="A3" s="1706"/>
      <c r="B3" s="1706"/>
      <c r="C3" s="306" t="s">
        <v>1189</v>
      </c>
      <c r="D3" s="282"/>
      <c r="E3" s="961"/>
      <c r="F3" s="961"/>
      <c r="G3" s="3028"/>
      <c r="H3" s="1427"/>
      <c r="I3" s="588" t="s">
        <v>1190</v>
      </c>
      <c r="J3" s="508"/>
      <c r="K3" s="1427"/>
      <c r="L3" s="152"/>
      <c r="M3" s="1800"/>
      <c r="N3" s="272"/>
      <c r="O3" s="1551"/>
      <c r="P3" s="1551"/>
      <c r="AH3" s="1558">
        <v>0</v>
      </c>
    </row>
    <row r="4" spans="1:34" s="1562" customFormat="1" ht="14.25" hidden="1" customHeight="1">
      <c r="A4" s="1705"/>
      <c r="B4" s="1705"/>
      <c r="C4" s="306"/>
      <c r="D4" s="282"/>
      <c r="N4" s="1563">
        <f>IFERROR(MATCH("метод экономически обоснованных расходов (затрат)",OFFER_METHOD,0),0)</f>
        <v>0</v>
      </c>
      <c r="O4" s="1551"/>
      <c r="P4" s="1551"/>
      <c r="T4" s="762"/>
      <c r="AG4" s="193"/>
      <c r="AH4" s="1558">
        <v>0</v>
      </c>
    </row>
    <row r="5" spans="1:34" s="1562" customFormat="1" ht="18.75" hidden="1" customHeight="1">
      <c r="A5" s="1706" t="s">
        <v>160</v>
      </c>
      <c r="B5" s="1706" t="s">
        <v>161</v>
      </c>
      <c r="C5" s="306"/>
      <c r="D5" s="282"/>
      <c r="E5" s="961"/>
      <c r="F5" s="961"/>
      <c r="G5" s="3028" t="str">
        <f>INDEX(PT_DIFFERENTIATION_NTAR,MATCH(B5,PT_DIFFERENTIATION_NTAR_ID,0))</f>
        <v/>
      </c>
      <c r="H5" s="1789"/>
      <c r="I5" s="1665"/>
      <c r="J5" s="1699"/>
      <c r="K5" s="1704"/>
      <c r="L5" s="1789" t="s">
        <v>351</v>
      </c>
      <c r="M5" s="1800"/>
      <c r="N5" s="272"/>
      <c r="O5" s="1551"/>
      <c r="P5" s="1551"/>
      <c r="AH5" s="1558">
        <v>0</v>
      </c>
    </row>
    <row r="6" spans="1:34" s="1562" customFormat="1" ht="18.75" hidden="1" customHeight="1">
      <c r="A6" s="1706"/>
      <c r="B6" s="1706"/>
      <c r="C6" s="306" t="s">
        <v>1191</v>
      </c>
      <c r="D6" s="282"/>
      <c r="E6" s="961"/>
      <c r="F6" s="961"/>
      <c r="G6" s="3028"/>
      <c r="H6" s="1427"/>
      <c r="I6" s="588" t="s">
        <v>1190</v>
      </c>
      <c r="J6" s="508"/>
      <c r="K6" s="1427"/>
      <c r="L6" s="152"/>
      <c r="M6" s="1800"/>
      <c r="N6" s="272"/>
      <c r="O6" s="1551"/>
      <c r="P6" s="1551"/>
      <c r="AH6" s="1558">
        <v>0</v>
      </c>
    </row>
    <row r="7" spans="1:34" s="1562" customFormat="1" ht="14.25" hidden="1" customHeight="1">
      <c r="A7" s="1705"/>
      <c r="B7" s="1705"/>
      <c r="C7" s="306"/>
      <c r="D7" s="282"/>
      <c r="N7" s="1563">
        <f>IFERROR(MATCH("метод экономически обоснованных расходов (затрат)",OFFER_METHOD,0),0)</f>
        <v>0</v>
      </c>
      <c r="O7" s="1551"/>
      <c r="P7" s="1551"/>
      <c r="T7" s="762"/>
      <c r="AG7" s="193"/>
      <c r="AH7" s="1558">
        <v>0</v>
      </c>
    </row>
    <row r="8" spans="1:34" s="1562" customFormat="1" ht="56.25" hidden="1" customHeight="1">
      <c r="A8" s="1706"/>
      <c r="B8" s="1706"/>
      <c r="C8" s="306"/>
      <c r="D8" s="282"/>
      <c r="E8" s="961"/>
      <c r="F8" s="961"/>
      <c r="G8" s="961"/>
      <c r="H8" s="1697"/>
      <c r="I8" s="1665"/>
      <c r="J8" s="1699"/>
      <c r="K8" s="1790"/>
      <c r="L8" s="1697" t="s">
        <v>351</v>
      </c>
      <c r="M8" s="1800"/>
      <c r="N8" s="272"/>
      <c r="O8" s="1551"/>
      <c r="P8" s="1551"/>
      <c r="AH8" s="1558">
        <v>0</v>
      </c>
    </row>
    <row r="9" spans="1:34" ht="14.25" hidden="1" customHeight="1">
      <c r="T9" s="334"/>
      <c r="AG9" s="193"/>
      <c r="AH9" s="311">
        <v>0</v>
      </c>
    </row>
    <row r="10" spans="1:34" s="1562" customFormat="1" ht="56.25" hidden="1" customHeight="1">
      <c r="A10" s="1706"/>
      <c r="B10" s="1706"/>
      <c r="C10" s="306"/>
      <c r="D10" s="282"/>
      <c r="E10" s="961"/>
      <c r="F10" s="961"/>
      <c r="G10" s="961"/>
      <c r="H10" s="1696"/>
      <c r="I10" s="1665"/>
      <c r="J10" s="1699"/>
      <c r="K10" s="1704"/>
      <c r="L10" s="1697" t="s">
        <v>351</v>
      </c>
      <c r="M10" s="1800"/>
      <c r="N10" s="272"/>
      <c r="O10" s="1551"/>
      <c r="P10" s="1551"/>
      <c r="AH10" s="1558">
        <v>0</v>
      </c>
    </row>
    <row r="11" spans="1:34" ht="14.25" hidden="1" customHeight="1">
      <c r="AH11" s="311">
        <v>0</v>
      </c>
    </row>
    <row r="12" spans="1:34" ht="14.25" hidden="1" customHeight="1">
      <c r="AH12" s="311">
        <v>0</v>
      </c>
    </row>
    <row r="13" spans="1:34" ht="6" customHeight="1">
      <c r="D13" s="313"/>
      <c r="E13" s="300"/>
      <c r="F13" s="300"/>
      <c r="G13" s="300"/>
      <c r="H13" s="300"/>
      <c r="I13" s="300"/>
      <c r="J13" s="300"/>
      <c r="K13" s="300"/>
      <c r="L13" s="25"/>
      <c r="M13" s="25"/>
      <c r="AH13" s="311">
        <v>6</v>
      </c>
    </row>
    <row r="14" spans="1:34" ht="15" customHeight="1">
      <c r="D14" s="313"/>
      <c r="E14" s="3056" t="str">
        <f>"Форма "&amp;IF(TEMPLATE_SPHERE="HEAT","18","12")&amp;". Информация о предложении "&amp;IF(TEMPLATE_SPHERE="HEAT","регулируемой организации","организации "&amp;TEMPLATE_SPHERE_RUS)&amp;" об установлении "&amp;IF(TEMPLATE_SPHERE="HEAT","цен (тарифов)","тарифов")&amp;" в сфере "&amp;TEMPLATE_SPHERE_RUS&amp;" на очередной"&amp;IF(TEMPLATE_SPHERE="HEAT"," расчетный","")&amp;" период регулирования"</f>
        <v>Форма 18. Информация о предложении регулируемой организации об установлении цен (тарифов) в сфере теплоснабжения на очередной расчетный период регулирования</v>
      </c>
      <c r="F14" s="3056"/>
      <c r="G14" s="3056"/>
      <c r="H14" s="3056"/>
      <c r="I14" s="3056"/>
      <c r="J14" s="3056"/>
      <c r="K14" s="3056"/>
      <c r="L14" s="3056"/>
      <c r="M14" s="158"/>
      <c r="AH14" s="311">
        <v>14</v>
      </c>
    </row>
    <row r="15" spans="1:34" ht="6" customHeight="1">
      <c r="D15" s="313"/>
      <c r="E15" s="300"/>
      <c r="F15" s="326"/>
      <c r="G15" s="326"/>
      <c r="H15" s="326"/>
      <c r="I15" s="326"/>
      <c r="J15" s="326"/>
      <c r="K15" s="326"/>
      <c r="L15" s="260"/>
      <c r="M15" s="131"/>
      <c r="AH15" s="311">
        <v>6</v>
      </c>
    </row>
    <row r="16" spans="1:34" ht="24" customHeight="1">
      <c r="D16" s="313"/>
      <c r="E16" s="300"/>
      <c r="F16" s="243" t="str">
        <f>"Дата подачи заявления об "&amp;IF(TITLE_DATE_PR_CHANGE="","утверждении","изменении")&amp;" тарифов"</f>
        <v>Дата подачи заявления об изменении тарифов</v>
      </c>
      <c r="G16" s="2888" t="str">
        <f>IF(TITLE_DATE_PR_CHANGE="",IF(TITLE_DATE_PR="","",TITLE_DATE_PR),TITLE_DATE_PR_CHANGE)</f>
        <v>14.11.2024</v>
      </c>
      <c r="H16" s="2888"/>
      <c r="I16" s="2888"/>
      <c r="J16" s="2888"/>
      <c r="K16" s="2888"/>
      <c r="L16" s="2888"/>
      <c r="M16" s="335"/>
      <c r="N16" s="264"/>
      <c r="AH16" s="311">
        <v>23</v>
      </c>
    </row>
    <row r="17" spans="1:34" ht="24" customHeight="1">
      <c r="D17" s="313"/>
      <c r="E17" s="300"/>
      <c r="F17" s="243" t="str">
        <f>"Номер подачи заявления об "&amp;IF(TITLE_DATE_PR_CHANGE="","утверждении","изменении")&amp;" тарифов"</f>
        <v>Номер подачи заявления об изменении тарифов</v>
      </c>
      <c r="G17" s="2889" t="str">
        <f>IF(TITLE_NUMBER_PR_CHANGE="",IF(TITLE_NUMBER_PR="","",TITLE_NUMBER_PR),TITLE_NUMBER_PR_CHANGE)</f>
        <v>947 от 12.11.2024</v>
      </c>
      <c r="H17" s="2889"/>
      <c r="I17" s="2889"/>
      <c r="J17" s="2889"/>
      <c r="K17" s="2889"/>
      <c r="L17" s="2889"/>
      <c r="M17" s="335"/>
      <c r="N17" s="264"/>
      <c r="AH17" s="311">
        <v>23</v>
      </c>
    </row>
    <row r="18" spans="1:34" ht="15" customHeight="1">
      <c r="D18" s="313"/>
      <c r="E18" s="300"/>
      <c r="F18" s="326"/>
      <c r="G18" s="326"/>
      <c r="H18" s="326"/>
      <c r="I18" s="326"/>
      <c r="J18" s="326"/>
      <c r="K18" s="326"/>
      <c r="L18" s="689"/>
      <c r="M18" s="131"/>
      <c r="AH18" s="311">
        <v>14</v>
      </c>
    </row>
    <row r="19" spans="1:34" ht="21.75" customHeight="1">
      <c r="D19" s="313"/>
      <c r="E19" s="2857" t="s">
        <v>345</v>
      </c>
      <c r="F19" s="2857"/>
      <c r="G19" s="2857"/>
      <c r="H19" s="2857"/>
      <c r="I19" s="2857"/>
      <c r="J19" s="2857"/>
      <c r="K19" s="2857"/>
      <c r="L19" s="2857"/>
      <c r="M19" s="3001" t="s">
        <v>346</v>
      </c>
      <c r="AH19" s="311">
        <v>21</v>
      </c>
    </row>
    <row r="20" spans="1:34" ht="21.75" customHeight="1">
      <c r="D20" s="313"/>
      <c r="E20" s="2913" t="s">
        <v>93</v>
      </c>
      <c r="F20" s="2863" t="s">
        <v>127</v>
      </c>
      <c r="G20" s="2863" t="s">
        <v>128</v>
      </c>
      <c r="H20" s="2998" t="s">
        <v>1192</v>
      </c>
      <c r="I20" s="2999"/>
      <c r="J20" s="3030"/>
      <c r="K20" s="2863" t="s">
        <v>348</v>
      </c>
      <c r="L20" s="2863" t="s">
        <v>435</v>
      </c>
      <c r="M20" s="3001"/>
      <c r="AH20" s="311">
        <v>21</v>
      </c>
    </row>
    <row r="21" spans="1:34" ht="21.75" customHeight="1">
      <c r="D21" s="313"/>
      <c r="E21" s="2915"/>
      <c r="F21" s="2864"/>
      <c r="G21" s="2864"/>
      <c r="H21" s="2862" t="s">
        <v>1193</v>
      </c>
      <c r="I21" s="2876"/>
      <c r="J21" s="48" t="s">
        <v>1194</v>
      </c>
      <c r="K21" s="2864"/>
      <c r="L21" s="2864"/>
      <c r="M21" s="3001"/>
      <c r="AH21" s="311">
        <v>21</v>
      </c>
    </row>
    <row r="22" spans="1:34" ht="12.75" customHeight="1">
      <c r="D22" s="313"/>
      <c r="E22" s="219"/>
      <c r="F22" s="219"/>
      <c r="G22" s="219"/>
      <c r="H22" s="3058"/>
      <c r="I22" s="3058"/>
      <c r="J22" s="219"/>
      <c r="K22" s="219"/>
      <c r="L22" s="219"/>
      <c r="M22" s="219"/>
      <c r="AH22" s="311">
        <v>12</v>
      </c>
    </row>
    <row r="23" spans="1:34" ht="20.25" customHeight="1">
      <c r="A23" s="1706"/>
      <c r="B23" s="1706"/>
      <c r="D23" s="313"/>
      <c r="E23" s="1791" t="s">
        <v>114</v>
      </c>
      <c r="F23" s="3059" t="str">
        <f>"Предлагаемый метод регулирования"&amp;IF(TEMPLATE_SPHERE="HEAT"," в сфере "&amp;TEMPLATE_SPHERE_RUS,"")</f>
        <v>Предлагаемый метод регулирования в сфере теплоснабжения</v>
      </c>
      <c r="G23" s="3059"/>
      <c r="H23" s="3052"/>
      <c r="I23" s="3052"/>
      <c r="J23" s="3052"/>
      <c r="K23" s="3059" t="s">
        <v>351</v>
      </c>
      <c r="L23" s="3052"/>
      <c r="M23" s="1695"/>
      <c r="N23" s="272"/>
      <c r="AH23" s="311">
        <v>19</v>
      </c>
    </row>
    <row r="24" spans="1:34" ht="60.75" hidden="1" customHeight="1">
      <c r="A24" s="1706" t="s">
        <v>160</v>
      </c>
      <c r="B24" s="1706" t="s">
        <v>161</v>
      </c>
      <c r="D24" s="3057"/>
      <c r="E24" s="2852"/>
      <c r="F24" s="3060" t="str">
        <f>INDEX(PT_DIFFERENTIATION_VTAR,MATCH(A24,PT_DIFFERENTIATION_VTAR_ID,0))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4" s="3028" t="str">
        <f>INDEX(PT_DIFFERENTIATION_NTAR,MATCH(B24,PT_DIFFERENTIATION_NTAR_ID,0))</f>
        <v/>
      </c>
      <c r="H24" s="1787"/>
      <c r="I24" s="1665"/>
      <c r="J24" s="1699"/>
      <c r="K24" s="1790"/>
      <c r="L24" s="1694" t="s">
        <v>351</v>
      </c>
      <c r="M24" s="28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"&amp;"Значение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"&amp;"Даты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f>
        <v>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 метод экономически обоснованных расходов (затрат);
- метод индексации установленных тарифов;
- метод обеспечения доходности инвестированного капитала;
- метод сравнения аналогов.
Даты начала и окончания срока действия тарифов указываются в виде «ДД.ММ.ГГГГ».
В случае дифференциации предлагаемых методов регулирования по видам тарифов и (или) по периодам действия тарифов информация по каждому из них указывается в отдельной строке.</v>
      </c>
      <c r="N24" s="272"/>
      <c r="AH24" s="311">
        <v>0</v>
      </c>
    </row>
    <row r="25" spans="1:34" s="1562" customFormat="1" ht="18.75" hidden="1" customHeight="1">
      <c r="A25" s="1706"/>
      <c r="B25" s="1706"/>
      <c r="C25" s="306" t="s">
        <v>1189</v>
      </c>
      <c r="D25" s="3057"/>
      <c r="E25" s="2852"/>
      <c r="F25" s="3060"/>
      <c r="G25" s="3028"/>
      <c r="H25" s="1427"/>
      <c r="I25" s="588" t="s">
        <v>1190</v>
      </c>
      <c r="J25" s="508"/>
      <c r="K25" s="1427"/>
      <c r="L25" s="152"/>
      <c r="M25" s="2803"/>
      <c r="N25" s="272"/>
      <c r="O25" s="1551"/>
      <c r="P25" s="1551"/>
      <c r="AH25" s="1558">
        <v>0</v>
      </c>
    </row>
    <row r="26" spans="1:34" ht="0.75" hidden="1" customHeight="1">
      <c r="A26" s="1706"/>
      <c r="B26" s="1706"/>
      <c r="C26" s="306" t="s">
        <v>1195</v>
      </c>
      <c r="D26" s="3057"/>
      <c r="E26" s="2852"/>
      <c r="F26" s="2991"/>
      <c r="G26" s="337"/>
      <c r="H26" s="1427"/>
      <c r="I26" s="332"/>
      <c r="J26" s="286"/>
      <c r="K26" s="1427"/>
      <c r="L26" s="139"/>
      <c r="M26" s="2803"/>
      <c r="N26" s="272"/>
      <c r="AH26" s="311">
        <v>0</v>
      </c>
    </row>
    <row r="27" spans="1:34" s="1562" customFormat="1" ht="51.75" customHeight="1">
      <c r="A27" s="1706" t="s">
        <v>168</v>
      </c>
      <c r="B27" s="1706" t="s">
        <v>169</v>
      </c>
      <c r="C27" s="306"/>
      <c r="D27" s="3053"/>
      <c r="E27" s="3061"/>
      <c r="F27" s="3062" t="str">
        <f>INDEX(PT_DIFFERENTIATION_VTAR,MATCH(A27,PT_DIFFERENTIATION_VTAR_ID,0))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7" s="3028" t="str">
        <f>INDEX(PT_DIFFERENTIATION_NTAR,MATCH(B27,PT_DIFFERENTIATION_NTAR_ID,0))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H27" s="1787"/>
      <c r="I27" s="1665" t="s">
        <v>22</v>
      </c>
      <c r="J27" s="1699" t="s">
        <v>26</v>
      </c>
      <c r="K27" s="1790" t="s">
        <v>1196</v>
      </c>
      <c r="L27" s="1787" t="s">
        <v>351</v>
      </c>
      <c r="M27" s="2803"/>
      <c r="N27" s="272"/>
      <c r="O27" s="1551"/>
      <c r="P27" s="1551"/>
      <c r="AH27" s="1558">
        <v>0</v>
      </c>
    </row>
    <row r="28" spans="1:34" s="1562" customFormat="1" ht="9.75" customHeight="1">
      <c r="A28" s="1706"/>
      <c r="B28" s="1706"/>
      <c r="C28" s="306" t="s">
        <v>1189</v>
      </c>
      <c r="D28" s="3053"/>
      <c r="E28" s="3061"/>
      <c r="F28" s="3062"/>
      <c r="G28" s="3028"/>
      <c r="H28" s="1427"/>
      <c r="I28" s="588" t="s">
        <v>1190</v>
      </c>
      <c r="J28" s="508"/>
      <c r="K28" s="1427"/>
      <c r="L28" s="152"/>
      <c r="M28" s="2803"/>
      <c r="N28" s="272"/>
      <c r="O28" s="1551"/>
      <c r="P28" s="1551"/>
      <c r="AH28" s="1558">
        <v>0</v>
      </c>
    </row>
    <row r="29" spans="1:34" s="1562" customFormat="1" ht="33" customHeight="1">
      <c r="A29" s="1748" t="s">
        <v>168</v>
      </c>
      <c r="B29" s="1748" t="s">
        <v>180</v>
      </c>
      <c r="C29" s="1614"/>
      <c r="D29" s="3054"/>
      <c r="E29" s="3055"/>
      <c r="F29" s="3055"/>
      <c r="G29" s="3028" t="str">
        <f>INDEX(PT_DIFFERENTIATION_NTAR,MATCH(B29,PT_DIFFERENTIATION_NTAR_ID,0))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H29" s="2002"/>
      <c r="I29" s="1665" t="s">
        <v>22</v>
      </c>
      <c r="J29" s="1699" t="s">
        <v>26</v>
      </c>
      <c r="K29" s="2004" t="s">
        <v>1196</v>
      </c>
      <c r="L29" s="2002" t="s">
        <v>351</v>
      </c>
      <c r="M29" s="2938"/>
      <c r="N29" s="555"/>
      <c r="O29" s="1551"/>
      <c r="P29" s="1551"/>
      <c r="AH29" s="1562">
        <v>0</v>
      </c>
    </row>
    <row r="30" spans="1:34" s="1562" customFormat="1" ht="27.75" customHeight="1">
      <c r="A30" s="1748"/>
      <c r="B30" s="1748"/>
      <c r="C30" s="1614" t="s">
        <v>1189</v>
      </c>
      <c r="D30" s="3054"/>
      <c r="E30" s="3055"/>
      <c r="F30" s="3055"/>
      <c r="G30" s="3028"/>
      <c r="H30" s="2546"/>
      <c r="I30" s="2547" t="s">
        <v>1190</v>
      </c>
      <c r="J30" s="2548"/>
      <c r="K30" s="2549"/>
      <c r="L30" s="2550"/>
      <c r="M30" s="2938"/>
      <c r="N30" s="555"/>
      <c r="O30" s="1551"/>
      <c r="P30" s="1551"/>
      <c r="AH30" s="1562">
        <v>0</v>
      </c>
    </row>
    <row r="31" spans="1:34" s="1562" customFormat="1" ht="35.25" customHeight="1">
      <c r="A31" s="1748" t="s">
        <v>168</v>
      </c>
      <c r="B31" s="1748" t="s">
        <v>184</v>
      </c>
      <c r="C31" s="1614"/>
      <c r="D31" s="3054"/>
      <c r="E31" s="3055"/>
      <c r="F31" s="3055"/>
      <c r="G31" s="3028" t="str">
        <f>INDEX(PT_DIFFERENTIATION_NTAR,MATCH(B31,PT_DIFFERENTIATION_NTAR_ID,0))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H31" s="2002"/>
      <c r="I31" s="1665" t="s">
        <v>22</v>
      </c>
      <c r="J31" s="1699" t="s">
        <v>26</v>
      </c>
      <c r="K31" s="2004" t="s">
        <v>1196</v>
      </c>
      <c r="L31" s="2002" t="s">
        <v>351</v>
      </c>
      <c r="M31" s="2938"/>
      <c r="N31" s="555"/>
      <c r="O31" s="1551"/>
      <c r="P31" s="1551"/>
      <c r="AH31" s="1562">
        <v>0</v>
      </c>
    </row>
    <row r="32" spans="1:34" s="1562" customFormat="1" ht="25.5" customHeight="1">
      <c r="A32" s="1748"/>
      <c r="B32" s="1748"/>
      <c r="C32" s="1614" t="s">
        <v>1189</v>
      </c>
      <c r="D32" s="3054"/>
      <c r="E32" s="3055"/>
      <c r="F32" s="3055"/>
      <c r="G32" s="3028"/>
      <c r="H32" s="2551"/>
      <c r="I32" s="2552" t="s">
        <v>1190</v>
      </c>
      <c r="J32" s="2553"/>
      <c r="K32" s="2554"/>
      <c r="L32" s="2555"/>
      <c r="M32" s="2938"/>
      <c r="N32" s="555"/>
      <c r="O32" s="1551"/>
      <c r="P32" s="1551"/>
      <c r="AH32" s="1562">
        <v>0</v>
      </c>
    </row>
    <row r="33" spans="1:34" s="1562" customFormat="1" ht="32.25" customHeight="1">
      <c r="A33" s="1748" t="s">
        <v>168</v>
      </c>
      <c r="B33" s="1748" t="s">
        <v>188</v>
      </c>
      <c r="C33" s="1614"/>
      <c r="D33" s="3054"/>
      <c r="E33" s="3055"/>
      <c r="F33" s="3055"/>
      <c r="G33" s="3028" t="str">
        <f>INDEX(PT_DIFFERENTIATION_NTAR,MATCH(B33,PT_DIFFERENTIATION_NTAR_ID,0))</f>
        <v>Тарифы на тепловую энергию, поставляемую потребителям г. Тюмени от котельной, расположенной по адресу: г.Тюмень, ул. Луначарского, 18, строение 1 (Котельная № 7)</v>
      </c>
      <c r="H33" s="2002"/>
      <c r="I33" s="1665" t="s">
        <v>22</v>
      </c>
      <c r="J33" s="1699" t="s">
        <v>26</v>
      </c>
      <c r="K33" s="2004" t="s">
        <v>1196</v>
      </c>
      <c r="L33" s="2002" t="s">
        <v>351</v>
      </c>
      <c r="M33" s="2938"/>
      <c r="N33" s="555"/>
      <c r="O33" s="1551"/>
      <c r="P33" s="1551"/>
      <c r="AH33" s="1562">
        <v>0</v>
      </c>
    </row>
    <row r="34" spans="1:34" s="1562" customFormat="1" ht="31.5" customHeight="1">
      <c r="A34" s="1748"/>
      <c r="B34" s="1748"/>
      <c r="C34" s="1614" t="s">
        <v>1189</v>
      </c>
      <c r="D34" s="3054"/>
      <c r="E34" s="3055"/>
      <c r="F34" s="3055"/>
      <c r="G34" s="3028"/>
      <c r="H34" s="2556"/>
      <c r="I34" s="2557" t="s">
        <v>1190</v>
      </c>
      <c r="J34" s="2558"/>
      <c r="K34" s="2559"/>
      <c r="L34" s="2560"/>
      <c r="M34" s="2938"/>
      <c r="N34" s="555"/>
      <c r="O34" s="1551"/>
      <c r="P34" s="1551"/>
      <c r="AH34" s="1562">
        <v>0</v>
      </c>
    </row>
    <row r="35" spans="1:34" s="1562" customFormat="1" ht="34.5" customHeight="1">
      <c r="A35" s="1748" t="s">
        <v>168</v>
      </c>
      <c r="B35" s="1748" t="s">
        <v>193</v>
      </c>
      <c r="C35" s="1614"/>
      <c r="D35" s="3054"/>
      <c r="E35" s="3055"/>
      <c r="F35" s="3055"/>
      <c r="G35" s="3028" t="str">
        <f>INDEX(PT_DIFFERENTIATION_NTAR,MATCH(B35,PT_DIFFERENTIATION_NTAR_ID,0))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H35" s="2002"/>
      <c r="I35" s="1665" t="s">
        <v>22</v>
      </c>
      <c r="J35" s="1699" t="s">
        <v>26</v>
      </c>
      <c r="K35" s="2004" t="s">
        <v>1196</v>
      </c>
      <c r="L35" s="2002" t="s">
        <v>351</v>
      </c>
      <c r="M35" s="2938"/>
      <c r="N35" s="555"/>
      <c r="O35" s="1551"/>
      <c r="P35" s="1551"/>
      <c r="AH35" s="1562">
        <v>0</v>
      </c>
    </row>
    <row r="36" spans="1:34" s="1562" customFormat="1" ht="29.25" customHeight="1">
      <c r="A36" s="1748"/>
      <c r="B36" s="1748"/>
      <c r="C36" s="1614" t="s">
        <v>1189</v>
      </c>
      <c r="D36" s="3054"/>
      <c r="E36" s="3055"/>
      <c r="F36" s="3055"/>
      <c r="G36" s="3028"/>
      <c r="H36" s="2561"/>
      <c r="I36" s="2562" t="s">
        <v>1190</v>
      </c>
      <c r="J36" s="2563"/>
      <c r="K36" s="2564"/>
      <c r="L36" s="2565"/>
      <c r="M36" s="2938"/>
      <c r="N36" s="555"/>
      <c r="O36" s="1551"/>
      <c r="P36" s="1551"/>
      <c r="AH36" s="1562">
        <v>0</v>
      </c>
    </row>
    <row r="37" spans="1:34" s="1562" customFormat="1" ht="31.5" customHeight="1">
      <c r="A37" s="1748" t="s">
        <v>168</v>
      </c>
      <c r="B37" s="1748" t="s">
        <v>198</v>
      </c>
      <c r="C37" s="1614"/>
      <c r="D37" s="3054"/>
      <c r="E37" s="3055"/>
      <c r="F37" s="3055"/>
      <c r="G37" s="3028" t="str">
        <f>INDEX(PT_DIFFERENTIATION_NTAR,MATCH(B37,PT_DIFFERENTIATION_NTAR_ID,0))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H37" s="2002"/>
      <c r="I37" s="1665" t="s">
        <v>22</v>
      </c>
      <c r="J37" s="1699" t="s">
        <v>26</v>
      </c>
      <c r="K37" s="2004" t="s">
        <v>1196</v>
      </c>
      <c r="L37" s="2002" t="s">
        <v>351</v>
      </c>
      <c r="M37" s="2938"/>
      <c r="N37" s="555"/>
      <c r="O37" s="1551"/>
      <c r="P37" s="1551"/>
      <c r="AH37" s="1562">
        <v>0</v>
      </c>
    </row>
    <row r="38" spans="1:34" s="1562" customFormat="1" ht="52.5" customHeight="1">
      <c r="A38" s="1748"/>
      <c r="B38" s="1748"/>
      <c r="C38" s="1614" t="s">
        <v>1189</v>
      </c>
      <c r="D38" s="3054"/>
      <c r="E38" s="3055"/>
      <c r="F38" s="3055"/>
      <c r="G38" s="3028"/>
      <c r="H38" s="2566"/>
      <c r="I38" s="2567" t="s">
        <v>1190</v>
      </c>
      <c r="J38" s="2568"/>
      <c r="K38" s="2569"/>
      <c r="L38" s="2570"/>
      <c r="M38" s="2938"/>
      <c r="N38" s="555"/>
      <c r="O38" s="1551"/>
      <c r="P38" s="1551"/>
      <c r="AH38" s="1562">
        <v>0</v>
      </c>
    </row>
    <row r="39" spans="1:34" s="1562" customFormat="1" ht="34.5" customHeight="1">
      <c r="A39" s="1748" t="s">
        <v>168</v>
      </c>
      <c r="B39" s="1748" t="s">
        <v>203</v>
      </c>
      <c r="C39" s="1614"/>
      <c r="D39" s="3054"/>
      <c r="E39" s="3055"/>
      <c r="F39" s="3055"/>
      <c r="G39" s="3028" t="str">
        <f>INDEX(PT_DIFFERENTIATION_NTAR,MATCH(B39,PT_DIFFERENTIATION_NTAR_ID,0))</f>
        <v>Тарифы на тепловую энергию, поставляемую потребителям г. Тюмени от котельной, расположенной по адресу: г.Тюмень, ул. Сказочная, 26, строение 2 (Котельная № 14)</v>
      </c>
      <c r="H39" s="2002"/>
      <c r="I39" s="1665" t="s">
        <v>22</v>
      </c>
      <c r="J39" s="1699" t="s">
        <v>26</v>
      </c>
      <c r="K39" s="2004" t="s">
        <v>1196</v>
      </c>
      <c r="L39" s="2002" t="s">
        <v>351</v>
      </c>
      <c r="M39" s="2938"/>
      <c r="N39" s="555"/>
      <c r="O39" s="1551"/>
      <c r="P39" s="1551"/>
      <c r="AH39" s="1562">
        <v>0</v>
      </c>
    </row>
    <row r="40" spans="1:34" s="1562" customFormat="1" ht="31.5" customHeight="1">
      <c r="A40" s="1748"/>
      <c r="B40" s="1748"/>
      <c r="C40" s="1614" t="s">
        <v>1189</v>
      </c>
      <c r="D40" s="3054"/>
      <c r="E40" s="3055"/>
      <c r="F40" s="3055"/>
      <c r="G40" s="3028"/>
      <c r="H40" s="2571"/>
      <c r="I40" s="2572" t="s">
        <v>1190</v>
      </c>
      <c r="J40" s="2573"/>
      <c r="K40" s="2574"/>
      <c r="L40" s="2575"/>
      <c r="M40" s="2938"/>
      <c r="N40" s="555"/>
      <c r="O40" s="1551"/>
      <c r="P40" s="1551"/>
      <c r="AH40" s="1562">
        <v>0</v>
      </c>
    </row>
    <row r="41" spans="1:34" s="1562" customFormat="1" ht="35.25" customHeight="1">
      <c r="A41" s="1748" t="s">
        <v>168</v>
      </c>
      <c r="B41" s="1748" t="s">
        <v>208</v>
      </c>
      <c r="C41" s="1614"/>
      <c r="D41" s="3054"/>
      <c r="E41" s="3055"/>
      <c r="F41" s="3055"/>
      <c r="G41" s="3028" t="str">
        <f>INDEX(PT_DIFFERENTIATION_NTAR,MATCH(B41,PT_DIFFERENTIATION_NTAR_ID,0))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H41" s="2002"/>
      <c r="I41" s="1665" t="s">
        <v>22</v>
      </c>
      <c r="J41" s="1699" t="s">
        <v>26</v>
      </c>
      <c r="K41" s="2004" t="s">
        <v>1196</v>
      </c>
      <c r="L41" s="2002" t="s">
        <v>351</v>
      </c>
      <c r="M41" s="2938"/>
      <c r="N41" s="555"/>
      <c r="O41" s="1551"/>
      <c r="P41" s="1551"/>
      <c r="AH41" s="1562">
        <v>0</v>
      </c>
    </row>
    <row r="42" spans="1:34" s="1562" customFormat="1" ht="24" customHeight="1">
      <c r="A42" s="1748"/>
      <c r="B42" s="1748"/>
      <c r="C42" s="1614" t="s">
        <v>1189</v>
      </c>
      <c r="D42" s="3054"/>
      <c r="E42" s="3055"/>
      <c r="F42" s="3055"/>
      <c r="G42" s="3028"/>
      <c r="H42" s="2576"/>
      <c r="I42" s="2577" t="s">
        <v>1190</v>
      </c>
      <c r="J42" s="2578"/>
      <c r="K42" s="2579"/>
      <c r="L42" s="2580"/>
      <c r="M42" s="2938"/>
      <c r="N42" s="555"/>
      <c r="O42" s="1551"/>
      <c r="P42" s="1551"/>
      <c r="AH42" s="1562">
        <v>0</v>
      </c>
    </row>
    <row r="43" spans="1:34" s="1562" customFormat="1" ht="0.75" customHeight="1">
      <c r="A43" s="1706"/>
      <c r="B43" s="1706"/>
      <c r="C43" s="306" t="s">
        <v>1195</v>
      </c>
      <c r="D43" s="3053"/>
      <c r="E43" s="2852"/>
      <c r="F43" s="2991"/>
      <c r="G43" s="337"/>
      <c r="H43" s="1427"/>
      <c r="I43" s="588"/>
      <c r="J43" s="508"/>
      <c r="K43" s="1427"/>
      <c r="L43" s="152"/>
      <c r="M43" s="2803"/>
      <c r="N43" s="272"/>
      <c r="O43" s="1551"/>
      <c r="P43" s="1551"/>
      <c r="AH43" s="1558">
        <v>0</v>
      </c>
    </row>
    <row r="44" spans="1:34" s="1562" customFormat="1" ht="45" hidden="1" customHeight="1">
      <c r="A44" s="1706" t="s">
        <v>214</v>
      </c>
      <c r="B44" s="1706" t="s">
        <v>215</v>
      </c>
      <c r="C44" s="306"/>
      <c r="D44" s="3053"/>
      <c r="E44" s="2852"/>
      <c r="F44" s="2991" t="str">
        <f>INDEX(PT_DIFFERENTIATION_VTAR,MATCH(A44,PT_DIFFERENTIATION_VTAR_ID,0))</f>
        <v>Тарифы на теплоноситель, поставляемый теплоснабжающими организациями потребителям, другим теплоснабжающим организациям</v>
      </c>
      <c r="G44" s="3028" t="str">
        <f>INDEX(PT_DIFFERENTIATION_NTAR,MATCH(B44,PT_DIFFERENTIATION_NTAR_ID,0))</f>
        <v/>
      </c>
      <c r="H44" s="1787"/>
      <c r="I44" s="1665"/>
      <c r="J44" s="1699"/>
      <c r="K44" s="1790"/>
      <c r="L44" s="1787" t="s">
        <v>351</v>
      </c>
      <c r="M44" s="2803"/>
      <c r="N44" s="272"/>
      <c r="O44" s="1551"/>
      <c r="P44" s="1551"/>
      <c r="AH44" s="1558">
        <v>0</v>
      </c>
    </row>
    <row r="45" spans="1:34" s="1562" customFormat="1" ht="18.75" hidden="1" customHeight="1">
      <c r="A45" s="1706"/>
      <c r="B45" s="1706"/>
      <c r="C45" s="306" t="s">
        <v>1189</v>
      </c>
      <c r="D45" s="3053"/>
      <c r="E45" s="2852"/>
      <c r="F45" s="2991"/>
      <c r="G45" s="3028"/>
      <c r="H45" s="1427"/>
      <c r="I45" s="588" t="s">
        <v>1190</v>
      </c>
      <c r="J45" s="508"/>
      <c r="K45" s="1427"/>
      <c r="L45" s="152"/>
      <c r="M45" s="2803"/>
      <c r="N45" s="272"/>
      <c r="O45" s="1551"/>
      <c r="P45" s="1551"/>
      <c r="AH45" s="1558">
        <v>0</v>
      </c>
    </row>
    <row r="46" spans="1:34" s="1562" customFormat="1" ht="0.75" hidden="1" customHeight="1">
      <c r="A46" s="1706"/>
      <c r="B46" s="1706"/>
      <c r="C46" s="306" t="s">
        <v>1195</v>
      </c>
      <c r="D46" s="3053"/>
      <c r="E46" s="2852"/>
      <c r="F46" s="2991"/>
      <c r="G46" s="337"/>
      <c r="H46" s="1427"/>
      <c r="I46" s="588"/>
      <c r="J46" s="508"/>
      <c r="K46" s="1427"/>
      <c r="L46" s="152"/>
      <c r="M46" s="2803"/>
      <c r="N46" s="272"/>
      <c r="O46" s="1551"/>
      <c r="P46" s="1551"/>
      <c r="AH46" s="1558">
        <v>0</v>
      </c>
    </row>
    <row r="47" spans="1:34" s="1562" customFormat="1" ht="45" hidden="1" customHeight="1">
      <c r="A47" s="1706" t="s">
        <v>220</v>
      </c>
      <c r="B47" s="1706" t="s">
        <v>221</v>
      </c>
      <c r="C47" s="306"/>
      <c r="D47" s="3053"/>
      <c r="E47" s="2852"/>
      <c r="F47" s="2991" t="str">
        <f>INDEX(PT_DIFFERENTIATION_VTAR,MATCH(A47,PT_DIFFERENTIATION_VTAR_ID,0))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47" s="3028" t="str">
        <f>INDEX(PT_DIFFERENTIATION_NTAR,MATCH(B47,PT_DIFFERENTIATION_NTAR_ID,0))</f>
        <v/>
      </c>
      <c r="H47" s="1787"/>
      <c r="I47" s="1665"/>
      <c r="J47" s="1699"/>
      <c r="K47" s="1790"/>
      <c r="L47" s="1787" t="s">
        <v>351</v>
      </c>
      <c r="M47" s="2803"/>
      <c r="N47" s="272"/>
      <c r="O47" s="1551"/>
      <c r="P47" s="1551"/>
      <c r="AH47" s="1558">
        <v>0</v>
      </c>
    </row>
    <row r="48" spans="1:34" s="1562" customFormat="1" ht="18.75" hidden="1" customHeight="1">
      <c r="A48" s="1706"/>
      <c r="B48" s="1706"/>
      <c r="C48" s="306" t="s">
        <v>1189</v>
      </c>
      <c r="D48" s="3053"/>
      <c r="E48" s="2852"/>
      <c r="F48" s="2991"/>
      <c r="G48" s="3028"/>
      <c r="H48" s="1427"/>
      <c r="I48" s="588" t="s">
        <v>1190</v>
      </c>
      <c r="J48" s="508"/>
      <c r="K48" s="1427"/>
      <c r="L48" s="152"/>
      <c r="M48" s="2803"/>
      <c r="N48" s="272"/>
      <c r="O48" s="1551"/>
      <c r="P48" s="1551"/>
      <c r="AH48" s="1558">
        <v>0</v>
      </c>
    </row>
    <row r="49" spans="1:34" s="1562" customFormat="1" ht="0.75" hidden="1" customHeight="1">
      <c r="A49" s="1706"/>
      <c r="B49" s="1706"/>
      <c r="C49" s="306" t="s">
        <v>1195</v>
      </c>
      <c r="D49" s="3053"/>
      <c r="E49" s="2852"/>
      <c r="F49" s="2991"/>
      <c r="G49" s="337"/>
      <c r="H49" s="1427"/>
      <c r="I49" s="588"/>
      <c r="J49" s="508"/>
      <c r="K49" s="1427"/>
      <c r="L49" s="152"/>
      <c r="M49" s="2803"/>
      <c r="N49" s="272"/>
      <c r="O49" s="1551"/>
      <c r="P49" s="1551"/>
      <c r="AH49" s="1558">
        <v>0</v>
      </c>
    </row>
    <row r="50" spans="1:34" s="1562" customFormat="1" ht="18.75" hidden="1" customHeight="1">
      <c r="A50" s="1706" t="s">
        <v>226</v>
      </c>
      <c r="B50" s="1706" t="s">
        <v>227</v>
      </c>
      <c r="C50" s="306"/>
      <c r="D50" s="3053"/>
      <c r="E50" s="2852"/>
      <c r="F50" s="2991" t="str">
        <f>INDEX(PT_DIFFERENTIATION_VTAR,MATCH(A50,PT_DIFFERENTIATION_VTAR_ID,0))</f>
        <v>Тарифы на услуги по передаче тепловой энергии</v>
      </c>
      <c r="G50" s="3028" t="str">
        <f>INDEX(PT_DIFFERENTIATION_NTAR,MATCH(B50,PT_DIFFERENTIATION_NTAR_ID,0))</f>
        <v/>
      </c>
      <c r="H50" s="1787"/>
      <c r="I50" s="1665"/>
      <c r="J50" s="1699"/>
      <c r="K50" s="1790"/>
      <c r="L50" s="1787" t="s">
        <v>351</v>
      </c>
      <c r="M50" s="2803"/>
      <c r="N50" s="272"/>
      <c r="O50" s="1551"/>
      <c r="P50" s="1551"/>
      <c r="AH50" s="1558">
        <v>0</v>
      </c>
    </row>
    <row r="51" spans="1:34" s="1562" customFormat="1" ht="18.75" hidden="1" customHeight="1">
      <c r="A51" s="1706"/>
      <c r="B51" s="1706"/>
      <c r="C51" s="306" t="s">
        <v>1189</v>
      </c>
      <c r="D51" s="3053"/>
      <c r="E51" s="2852"/>
      <c r="F51" s="2991"/>
      <c r="G51" s="3028"/>
      <c r="H51" s="1427"/>
      <c r="I51" s="588" t="s">
        <v>1190</v>
      </c>
      <c r="J51" s="508"/>
      <c r="K51" s="1427"/>
      <c r="L51" s="152"/>
      <c r="M51" s="2803"/>
      <c r="N51" s="272"/>
      <c r="O51" s="1551"/>
      <c r="P51" s="1551"/>
      <c r="AH51" s="1558">
        <v>0</v>
      </c>
    </row>
    <row r="52" spans="1:34" s="1562" customFormat="1" ht="0.75" hidden="1" customHeight="1">
      <c r="A52" s="1706"/>
      <c r="B52" s="1706"/>
      <c r="C52" s="306" t="s">
        <v>1195</v>
      </c>
      <c r="D52" s="3053"/>
      <c r="E52" s="2852"/>
      <c r="F52" s="2991"/>
      <c r="G52" s="337"/>
      <c r="H52" s="1427"/>
      <c r="I52" s="588"/>
      <c r="J52" s="508"/>
      <c r="K52" s="1427"/>
      <c r="L52" s="152"/>
      <c r="M52" s="2803"/>
      <c r="N52" s="272"/>
      <c r="O52" s="1551"/>
      <c r="P52" s="1551"/>
      <c r="AH52" s="1558">
        <v>0</v>
      </c>
    </row>
    <row r="53" spans="1:34" s="1562" customFormat="1" ht="18.75" hidden="1" customHeight="1">
      <c r="A53" s="1706" t="s">
        <v>232</v>
      </c>
      <c r="B53" s="1706" t="s">
        <v>233</v>
      </c>
      <c r="C53" s="306"/>
      <c r="D53" s="3053"/>
      <c r="E53" s="2852"/>
      <c r="F53" s="2991" t="str">
        <f>INDEX(PT_DIFFERENTIATION_VTAR,MATCH(A53,PT_DIFFERENTIATION_VTAR_ID,0))</f>
        <v>Тарифы на услуги по передаче теплоносителя</v>
      </c>
      <c r="G53" s="3028" t="str">
        <f>INDEX(PT_DIFFERENTIATION_NTAR,MATCH(B53,PT_DIFFERENTIATION_NTAR_ID,0))</f>
        <v/>
      </c>
      <c r="H53" s="1787"/>
      <c r="I53" s="1665"/>
      <c r="J53" s="1699"/>
      <c r="K53" s="1790"/>
      <c r="L53" s="1787" t="s">
        <v>351</v>
      </c>
      <c r="M53" s="2803"/>
      <c r="N53" s="272"/>
      <c r="O53" s="1551"/>
      <c r="P53" s="1551"/>
      <c r="AH53" s="1558">
        <v>0</v>
      </c>
    </row>
    <row r="54" spans="1:34" s="1562" customFormat="1" ht="18.75" hidden="1" customHeight="1">
      <c r="A54" s="1706"/>
      <c r="B54" s="1706"/>
      <c r="C54" s="306" t="s">
        <v>1189</v>
      </c>
      <c r="D54" s="3053"/>
      <c r="E54" s="2852"/>
      <c r="F54" s="2991"/>
      <c r="G54" s="3028"/>
      <c r="H54" s="1427"/>
      <c r="I54" s="588" t="s">
        <v>1190</v>
      </c>
      <c r="J54" s="508"/>
      <c r="K54" s="1427"/>
      <c r="L54" s="152"/>
      <c r="M54" s="2803"/>
      <c r="N54" s="272"/>
      <c r="O54" s="1551"/>
      <c r="P54" s="1551"/>
      <c r="AH54" s="1558">
        <v>0</v>
      </c>
    </row>
    <row r="55" spans="1:34" s="1562" customFormat="1" ht="0.75" hidden="1" customHeight="1">
      <c r="A55" s="1706"/>
      <c r="B55" s="1706"/>
      <c r="C55" s="306" t="s">
        <v>1195</v>
      </c>
      <c r="D55" s="3053"/>
      <c r="E55" s="2852"/>
      <c r="F55" s="2991"/>
      <c r="G55" s="337"/>
      <c r="H55" s="1427"/>
      <c r="I55" s="588"/>
      <c r="J55" s="508"/>
      <c r="K55" s="1427"/>
      <c r="L55" s="152"/>
      <c r="M55" s="2803"/>
      <c r="N55" s="272"/>
      <c r="O55" s="1551"/>
      <c r="P55" s="1551"/>
      <c r="AH55" s="1558">
        <v>0</v>
      </c>
    </row>
    <row r="56" spans="1:34" s="1562" customFormat="1" ht="18.75" hidden="1" customHeight="1">
      <c r="A56" s="1706" t="s">
        <v>238</v>
      </c>
      <c r="B56" s="1706" t="s">
        <v>239</v>
      </c>
      <c r="C56" s="306"/>
      <c r="D56" s="3053"/>
      <c r="E56" s="2852"/>
      <c r="F56" s="2991" t="str">
        <f>INDEX(PT_DIFFERENTIATION_VTAR,MATCH(A56,PT_DIFFERENTIATION_VTAR_ID,0))</f>
        <v>Плата за услуги по поддержанию резервной тепловой мощности при отсутствии потребления тепловой энергии</v>
      </c>
      <c r="G56" s="3028" t="str">
        <f>INDEX(PT_DIFFERENTIATION_NTAR,MATCH(B56,PT_DIFFERENTIATION_NTAR_ID,0))</f>
        <v/>
      </c>
      <c r="H56" s="1787"/>
      <c r="I56" s="1665"/>
      <c r="J56" s="1699"/>
      <c r="K56" s="1790"/>
      <c r="L56" s="1787" t="s">
        <v>351</v>
      </c>
      <c r="M56" s="2803"/>
      <c r="N56" s="272"/>
      <c r="O56" s="1551"/>
      <c r="P56" s="1551"/>
      <c r="AH56" s="1558">
        <v>0</v>
      </c>
    </row>
    <row r="57" spans="1:34" s="1562" customFormat="1" ht="18.75" hidden="1" customHeight="1">
      <c r="A57" s="1706"/>
      <c r="B57" s="1706"/>
      <c r="C57" s="306" t="s">
        <v>1189</v>
      </c>
      <c r="D57" s="3053"/>
      <c r="E57" s="2852"/>
      <c r="F57" s="2991"/>
      <c r="G57" s="3028"/>
      <c r="H57" s="1427"/>
      <c r="I57" s="588" t="s">
        <v>1190</v>
      </c>
      <c r="J57" s="508"/>
      <c r="K57" s="1427"/>
      <c r="L57" s="152"/>
      <c r="M57" s="2803"/>
      <c r="N57" s="272"/>
      <c r="O57" s="1551"/>
      <c r="P57" s="1551"/>
      <c r="AH57" s="1558">
        <v>0</v>
      </c>
    </row>
    <row r="58" spans="1:34" s="1562" customFormat="1" ht="0.75" hidden="1" customHeight="1">
      <c r="A58" s="1706"/>
      <c r="B58" s="1706"/>
      <c r="C58" s="306" t="s">
        <v>1195</v>
      </c>
      <c r="D58" s="3053"/>
      <c r="E58" s="2852"/>
      <c r="F58" s="2991"/>
      <c r="G58" s="337"/>
      <c r="H58" s="1427"/>
      <c r="I58" s="588"/>
      <c r="J58" s="508"/>
      <c r="K58" s="1427"/>
      <c r="L58" s="152"/>
      <c r="M58" s="2803"/>
      <c r="N58" s="272"/>
      <c r="O58" s="1551"/>
      <c r="P58" s="1551"/>
      <c r="AH58" s="1558">
        <v>0</v>
      </c>
    </row>
    <row r="59" spans="1:34" s="1562" customFormat="1" ht="18.75" hidden="1" customHeight="1">
      <c r="A59" s="1706" t="s">
        <v>244</v>
      </c>
      <c r="B59" s="1706" t="s">
        <v>245</v>
      </c>
      <c r="C59" s="306"/>
      <c r="D59" s="3053"/>
      <c r="E59" s="2852"/>
      <c r="F59" s="2991" t="str">
        <f>INDEX(PT_DIFFERENTIATION_VTAR,MATCH(A59,PT_DIFFERENTIATION_VTAR_ID,0))</f>
        <v>Плата за подключение (технологическое присоединение) к системе теплоснабжения</v>
      </c>
      <c r="G59" s="3028" t="str">
        <f>INDEX(PT_DIFFERENTIATION_NTAR,MATCH(B59,PT_DIFFERENTIATION_NTAR_ID,0))</f>
        <v/>
      </c>
      <c r="H59" s="1787"/>
      <c r="I59" s="1665"/>
      <c r="J59" s="1699"/>
      <c r="K59" s="1790"/>
      <c r="L59" s="1787" t="s">
        <v>351</v>
      </c>
      <c r="M59" s="2803"/>
      <c r="N59" s="272"/>
      <c r="O59" s="1551"/>
      <c r="P59" s="1551"/>
      <c r="AH59" s="1558">
        <v>0</v>
      </c>
    </row>
    <row r="60" spans="1:34" s="1562" customFormat="1" ht="18.75" hidden="1" customHeight="1">
      <c r="A60" s="1706"/>
      <c r="B60" s="1706"/>
      <c r="C60" s="306" t="s">
        <v>1189</v>
      </c>
      <c r="D60" s="3053"/>
      <c r="E60" s="2852"/>
      <c r="F60" s="2991"/>
      <c r="G60" s="3028"/>
      <c r="H60" s="1427"/>
      <c r="I60" s="588" t="s">
        <v>1190</v>
      </c>
      <c r="J60" s="508"/>
      <c r="K60" s="1427"/>
      <c r="L60" s="152"/>
      <c r="M60" s="2803"/>
      <c r="N60" s="272"/>
      <c r="O60" s="1551"/>
      <c r="P60" s="1551"/>
      <c r="AH60" s="1558">
        <v>0</v>
      </c>
    </row>
    <row r="61" spans="1:34" s="1562" customFormat="1" ht="0.75" hidden="1" customHeight="1">
      <c r="A61" s="1706"/>
      <c r="B61" s="1706"/>
      <c r="C61" s="306" t="s">
        <v>1195</v>
      </c>
      <c r="D61" s="3053"/>
      <c r="E61" s="2852"/>
      <c r="F61" s="2991"/>
      <c r="G61" s="337"/>
      <c r="H61" s="1427"/>
      <c r="I61" s="588"/>
      <c r="J61" s="508"/>
      <c r="K61" s="1427"/>
      <c r="L61" s="152"/>
      <c r="M61" s="2803"/>
      <c r="N61" s="272"/>
      <c r="O61" s="1551"/>
      <c r="P61" s="1551"/>
      <c r="AH61" s="1558">
        <v>0</v>
      </c>
    </row>
    <row r="62" spans="1:34" s="1562" customFormat="1" ht="18.75" hidden="1" customHeight="1">
      <c r="A62" s="1706" t="s">
        <v>250</v>
      </c>
      <c r="B62" s="1706" t="s">
        <v>251</v>
      </c>
      <c r="C62" s="306"/>
      <c r="D62" s="3053"/>
      <c r="E62" s="2852"/>
      <c r="F62" s="2991" t="str">
        <f>INDEX(PT_DIFFERENTIATION_VTAR,MATCH(A62,PT_DIFFERENTIATION_VTAR_ID,0))</f>
        <v>Плата за подключение (технологическое присоединение) к системе теплоснабжения (индивидуальная)</v>
      </c>
      <c r="G62" s="3028" t="str">
        <f>INDEX(PT_DIFFERENTIATION_NTAR,MATCH(B62,PT_DIFFERENTIATION_NTAR_ID,0))</f>
        <v/>
      </c>
      <c r="H62" s="1911"/>
      <c r="I62" s="1665"/>
      <c r="J62" s="1699"/>
      <c r="K62" s="1790"/>
      <c r="L62" s="1911" t="s">
        <v>351</v>
      </c>
      <c r="M62" s="2803"/>
      <c r="N62" s="272"/>
      <c r="O62" s="1551"/>
      <c r="P62" s="1551"/>
      <c r="AH62" s="1558">
        <v>0</v>
      </c>
    </row>
    <row r="63" spans="1:34" s="1562" customFormat="1" ht="18.75" hidden="1" customHeight="1">
      <c r="A63" s="1706"/>
      <c r="B63" s="1706"/>
      <c r="C63" s="306" t="s">
        <v>1189</v>
      </c>
      <c r="D63" s="3053"/>
      <c r="E63" s="2852"/>
      <c r="F63" s="2991"/>
      <c r="G63" s="3028"/>
      <c r="H63" s="1427"/>
      <c r="I63" s="588" t="s">
        <v>1190</v>
      </c>
      <c r="J63" s="508"/>
      <c r="K63" s="1427"/>
      <c r="L63" s="152"/>
      <c r="M63" s="2803"/>
      <c r="N63" s="272"/>
      <c r="O63" s="1551"/>
      <c r="P63" s="1551"/>
      <c r="AH63" s="1558">
        <v>0</v>
      </c>
    </row>
    <row r="64" spans="1:34" s="1562" customFormat="1" ht="0.75" hidden="1" customHeight="1">
      <c r="A64" s="1706"/>
      <c r="B64" s="1706"/>
      <c r="C64" s="306" t="s">
        <v>1195</v>
      </c>
      <c r="D64" s="3053"/>
      <c r="E64" s="2852"/>
      <c r="F64" s="2991"/>
      <c r="G64" s="337"/>
      <c r="H64" s="1427"/>
      <c r="I64" s="588"/>
      <c r="J64" s="508"/>
      <c r="K64" s="1427"/>
      <c r="L64" s="152"/>
      <c r="M64" s="2803"/>
      <c r="N64" s="272"/>
      <c r="O64" s="1551"/>
      <c r="P64" s="1551"/>
      <c r="AH64" s="1558">
        <v>0</v>
      </c>
    </row>
    <row r="65" spans="1:34" s="1562" customFormat="1" ht="18.75" hidden="1" customHeight="1">
      <c r="A65" s="1706" t="s">
        <v>270</v>
      </c>
      <c r="B65" s="1706" t="s">
        <v>271</v>
      </c>
      <c r="C65" s="306"/>
      <c r="D65" s="3053"/>
      <c r="E65" s="2852"/>
      <c r="F65" s="2991" t="str">
        <f>INDEX(PT_DIFFERENTIATION_VTAR,MATCH(A65,PT_DIFFERENTIATION_VTAR_ID,0))</f>
        <v>Тариф на питьевую воду (питьевое водоснабжение)</v>
      </c>
      <c r="G65" s="3028" t="str">
        <f>INDEX(PT_DIFFERENTIATION_NTAR,MATCH(B65,PT_DIFFERENTIATION_NTAR_ID,0))</f>
        <v/>
      </c>
      <c r="H65" s="1787"/>
      <c r="I65" s="1665"/>
      <c r="J65" s="1699"/>
      <c r="K65" s="1790"/>
      <c r="L65" s="1787" t="s">
        <v>351</v>
      </c>
      <c r="M65" s="2803"/>
      <c r="N65" s="272"/>
      <c r="O65" s="1551"/>
      <c r="P65" s="1551"/>
      <c r="AH65" s="1558">
        <v>0</v>
      </c>
    </row>
    <row r="66" spans="1:34" s="1562" customFormat="1" ht="18.75" hidden="1" customHeight="1">
      <c r="A66" s="1706"/>
      <c r="B66" s="1706"/>
      <c r="C66" s="306" t="s">
        <v>1189</v>
      </c>
      <c r="D66" s="3053"/>
      <c r="E66" s="2852"/>
      <c r="F66" s="2991"/>
      <c r="G66" s="3028"/>
      <c r="H66" s="1427"/>
      <c r="I66" s="588" t="s">
        <v>1190</v>
      </c>
      <c r="J66" s="508"/>
      <c r="K66" s="1427"/>
      <c r="L66" s="152"/>
      <c r="M66" s="2803"/>
      <c r="N66" s="272"/>
      <c r="O66" s="1551"/>
      <c r="P66" s="1551"/>
      <c r="AH66" s="1558">
        <v>0</v>
      </c>
    </row>
    <row r="67" spans="1:34" s="1562" customFormat="1" ht="0.75" hidden="1" customHeight="1">
      <c r="A67" s="1706"/>
      <c r="B67" s="1706"/>
      <c r="C67" s="306" t="s">
        <v>1195</v>
      </c>
      <c r="D67" s="3053"/>
      <c r="E67" s="2852"/>
      <c r="F67" s="2991"/>
      <c r="G67" s="337"/>
      <c r="H67" s="1427"/>
      <c r="I67" s="588"/>
      <c r="J67" s="508"/>
      <c r="K67" s="1427"/>
      <c r="L67" s="152"/>
      <c r="M67" s="2803"/>
      <c r="N67" s="272"/>
      <c r="O67" s="1551"/>
      <c r="P67" s="1551"/>
      <c r="AH67" s="1558">
        <v>0</v>
      </c>
    </row>
    <row r="68" spans="1:34" s="1562" customFormat="1" ht="18.75" hidden="1" customHeight="1">
      <c r="A68" s="1706" t="s">
        <v>275</v>
      </c>
      <c r="B68" s="1706" t="s">
        <v>276</v>
      </c>
      <c r="C68" s="306"/>
      <c r="D68" s="3053"/>
      <c r="E68" s="2852"/>
      <c r="F68" s="2991" t="str">
        <f>INDEX(PT_DIFFERENTIATION_VTAR,MATCH(A68,PT_DIFFERENTIATION_VTAR_ID,0))</f>
        <v>Тариф на техническую воду</v>
      </c>
      <c r="G68" s="3028" t="str">
        <f>INDEX(PT_DIFFERENTIATION_NTAR,MATCH(B68,PT_DIFFERENTIATION_NTAR_ID,0))</f>
        <v/>
      </c>
      <c r="H68" s="1787"/>
      <c r="I68" s="1665"/>
      <c r="J68" s="1699"/>
      <c r="K68" s="1790"/>
      <c r="L68" s="1787" t="s">
        <v>351</v>
      </c>
      <c r="M68" s="2803"/>
      <c r="N68" s="272"/>
      <c r="O68" s="1551"/>
      <c r="P68" s="1551"/>
      <c r="AH68" s="1558">
        <v>0</v>
      </c>
    </row>
    <row r="69" spans="1:34" s="1562" customFormat="1" ht="18.75" hidden="1" customHeight="1">
      <c r="A69" s="1706"/>
      <c r="B69" s="1706"/>
      <c r="C69" s="306" t="s">
        <v>1189</v>
      </c>
      <c r="D69" s="3053"/>
      <c r="E69" s="2852"/>
      <c r="F69" s="2991"/>
      <c r="G69" s="3028"/>
      <c r="H69" s="1427"/>
      <c r="I69" s="588" t="s">
        <v>1190</v>
      </c>
      <c r="J69" s="508"/>
      <c r="K69" s="1427"/>
      <c r="L69" s="152"/>
      <c r="M69" s="2803"/>
      <c r="N69" s="272"/>
      <c r="O69" s="1551"/>
      <c r="P69" s="1551"/>
      <c r="AH69" s="1558">
        <v>0</v>
      </c>
    </row>
    <row r="70" spans="1:34" s="1562" customFormat="1" ht="0.75" hidden="1" customHeight="1">
      <c r="A70" s="1706"/>
      <c r="B70" s="1706"/>
      <c r="C70" s="306" t="s">
        <v>1195</v>
      </c>
      <c r="D70" s="3053"/>
      <c r="E70" s="2852"/>
      <c r="F70" s="2991"/>
      <c r="G70" s="337"/>
      <c r="H70" s="1427"/>
      <c r="I70" s="588"/>
      <c r="J70" s="508"/>
      <c r="K70" s="1427"/>
      <c r="L70" s="152"/>
      <c r="M70" s="2803"/>
      <c r="N70" s="272"/>
      <c r="O70" s="1551"/>
      <c r="P70" s="1551"/>
      <c r="AH70" s="1558">
        <v>0</v>
      </c>
    </row>
    <row r="71" spans="1:34" s="1562" customFormat="1" ht="18.75" hidden="1" customHeight="1">
      <c r="A71" s="1706" t="s">
        <v>280</v>
      </c>
      <c r="B71" s="1706" t="s">
        <v>281</v>
      </c>
      <c r="C71" s="306"/>
      <c r="D71" s="3053"/>
      <c r="E71" s="2852"/>
      <c r="F71" s="2991" t="str">
        <f>INDEX(PT_DIFFERENTIATION_VTAR,MATCH(A71,PT_DIFFERENTIATION_VTAR_ID,0))</f>
        <v>Тариф на транспортировку воды</v>
      </c>
      <c r="G71" s="3028" t="str">
        <f>INDEX(PT_DIFFERENTIATION_NTAR,MATCH(B71,PT_DIFFERENTIATION_NTAR_ID,0))</f>
        <v/>
      </c>
      <c r="H71" s="1787"/>
      <c r="I71" s="1665"/>
      <c r="J71" s="1699"/>
      <c r="K71" s="1790"/>
      <c r="L71" s="1787" t="s">
        <v>351</v>
      </c>
      <c r="M71" s="2803"/>
      <c r="N71" s="272"/>
      <c r="O71" s="1551"/>
      <c r="P71" s="1551"/>
      <c r="AH71" s="1558">
        <v>0</v>
      </c>
    </row>
    <row r="72" spans="1:34" s="1562" customFormat="1" ht="18.75" hidden="1" customHeight="1">
      <c r="A72" s="1706"/>
      <c r="B72" s="1706"/>
      <c r="C72" s="306" t="s">
        <v>1189</v>
      </c>
      <c r="D72" s="3053"/>
      <c r="E72" s="2852"/>
      <c r="F72" s="2991"/>
      <c r="G72" s="3028"/>
      <c r="H72" s="1427"/>
      <c r="I72" s="588" t="s">
        <v>1190</v>
      </c>
      <c r="J72" s="508"/>
      <c r="K72" s="1427"/>
      <c r="L72" s="152"/>
      <c r="M72" s="2803"/>
      <c r="N72" s="272"/>
      <c r="O72" s="1551"/>
      <c r="P72" s="1551"/>
      <c r="AH72" s="1558">
        <v>0</v>
      </c>
    </row>
    <row r="73" spans="1:34" s="1562" customFormat="1" ht="0.75" hidden="1" customHeight="1">
      <c r="A73" s="1706"/>
      <c r="B73" s="1706"/>
      <c r="C73" s="306" t="s">
        <v>1195</v>
      </c>
      <c r="D73" s="3053"/>
      <c r="E73" s="2852"/>
      <c r="F73" s="2991"/>
      <c r="G73" s="337"/>
      <c r="H73" s="1427"/>
      <c r="I73" s="588"/>
      <c r="J73" s="508"/>
      <c r="K73" s="1427"/>
      <c r="L73" s="152"/>
      <c r="M73" s="2803"/>
      <c r="N73" s="272"/>
      <c r="O73" s="1551"/>
      <c r="P73" s="1551"/>
      <c r="AH73" s="1558">
        <v>0</v>
      </c>
    </row>
    <row r="74" spans="1:34" s="1562" customFormat="1" ht="18.75" hidden="1" customHeight="1">
      <c r="A74" s="1706" t="s">
        <v>285</v>
      </c>
      <c r="B74" s="1706" t="s">
        <v>286</v>
      </c>
      <c r="C74" s="306"/>
      <c r="D74" s="3053"/>
      <c r="E74" s="2852"/>
      <c r="F74" s="2991" t="str">
        <f>INDEX(PT_DIFFERENTIATION_VTAR,MATCH(A74,PT_DIFFERENTIATION_VTAR_ID,0))</f>
        <v>Тариф на подвоз воды</v>
      </c>
      <c r="G74" s="3028" t="str">
        <f>INDEX(PT_DIFFERENTIATION_NTAR,MATCH(B74,PT_DIFFERENTIATION_NTAR_ID,0))</f>
        <v/>
      </c>
      <c r="H74" s="1787"/>
      <c r="I74" s="1665"/>
      <c r="J74" s="1699"/>
      <c r="K74" s="1790"/>
      <c r="L74" s="1787" t="s">
        <v>351</v>
      </c>
      <c r="M74" s="2803"/>
      <c r="N74" s="272"/>
      <c r="O74" s="1551"/>
      <c r="P74" s="1551"/>
      <c r="AH74" s="1558">
        <v>0</v>
      </c>
    </row>
    <row r="75" spans="1:34" s="1562" customFormat="1" ht="18.75" hidden="1" customHeight="1">
      <c r="A75" s="1706"/>
      <c r="B75" s="1706"/>
      <c r="C75" s="306" t="s">
        <v>1189</v>
      </c>
      <c r="D75" s="3053"/>
      <c r="E75" s="2852"/>
      <c r="F75" s="2991"/>
      <c r="G75" s="3028"/>
      <c r="H75" s="1427"/>
      <c r="I75" s="588" t="s">
        <v>1190</v>
      </c>
      <c r="J75" s="508"/>
      <c r="K75" s="1427"/>
      <c r="L75" s="152"/>
      <c r="M75" s="2803"/>
      <c r="N75" s="272"/>
      <c r="O75" s="1551"/>
      <c r="P75" s="1551"/>
      <c r="AH75" s="1558">
        <v>0</v>
      </c>
    </row>
    <row r="76" spans="1:34" s="1562" customFormat="1" ht="0.75" hidden="1" customHeight="1">
      <c r="A76" s="1706"/>
      <c r="B76" s="1706"/>
      <c r="C76" s="306" t="s">
        <v>1195</v>
      </c>
      <c r="D76" s="3053"/>
      <c r="E76" s="2852"/>
      <c r="F76" s="2991"/>
      <c r="G76" s="337"/>
      <c r="H76" s="1427"/>
      <c r="I76" s="588"/>
      <c r="J76" s="508"/>
      <c r="K76" s="1427"/>
      <c r="L76" s="152"/>
      <c r="M76" s="2803"/>
      <c r="N76" s="272"/>
      <c r="O76" s="1551"/>
      <c r="P76" s="1551"/>
      <c r="AH76" s="1558">
        <v>0</v>
      </c>
    </row>
    <row r="77" spans="1:34" s="1562" customFormat="1" ht="18.75" hidden="1" customHeight="1">
      <c r="A77" s="1706" t="s">
        <v>290</v>
      </c>
      <c r="B77" s="1706" t="s">
        <v>291</v>
      </c>
      <c r="C77" s="306"/>
      <c r="D77" s="3053"/>
      <c r="E77" s="2852"/>
      <c r="F77" s="2991" t="str">
        <f>INDEX(PT_DIFFERENTIATION_VTAR,MATCH(A77,PT_DIFFERENTIATION_VTAR_ID,0))</f>
        <v>Тариф на подключение (технологическое присоединение) к централизованной системе холодного водоснабжения</v>
      </c>
      <c r="G77" s="3028" t="str">
        <f>INDEX(PT_DIFFERENTIATION_NTAR,MATCH(B77,PT_DIFFERENTIATION_NTAR_ID,0))</f>
        <v/>
      </c>
      <c r="H77" s="1787"/>
      <c r="I77" s="1665"/>
      <c r="J77" s="1699"/>
      <c r="K77" s="1790"/>
      <c r="L77" s="1787" t="s">
        <v>351</v>
      </c>
      <c r="M77" s="2803"/>
      <c r="N77" s="272"/>
      <c r="O77" s="1551"/>
      <c r="P77" s="1551"/>
      <c r="AH77" s="1558">
        <v>0</v>
      </c>
    </row>
    <row r="78" spans="1:34" s="1562" customFormat="1" ht="18.75" hidden="1" customHeight="1">
      <c r="A78" s="1706"/>
      <c r="B78" s="1706"/>
      <c r="C78" s="306" t="s">
        <v>1189</v>
      </c>
      <c r="D78" s="3053"/>
      <c r="E78" s="2852"/>
      <c r="F78" s="2991"/>
      <c r="G78" s="3028"/>
      <c r="H78" s="1427"/>
      <c r="I78" s="588" t="s">
        <v>1190</v>
      </c>
      <c r="J78" s="508"/>
      <c r="K78" s="1427"/>
      <c r="L78" s="152"/>
      <c r="M78" s="2803"/>
      <c r="N78" s="272"/>
      <c r="O78" s="1551"/>
      <c r="P78" s="1551"/>
      <c r="AH78" s="1558">
        <v>0</v>
      </c>
    </row>
    <row r="79" spans="1:34" s="1562" customFormat="1" ht="0.75" hidden="1" customHeight="1">
      <c r="A79" s="1706"/>
      <c r="B79" s="1706"/>
      <c r="C79" s="306" t="s">
        <v>1195</v>
      </c>
      <c r="D79" s="3053"/>
      <c r="E79" s="2852"/>
      <c r="F79" s="2991"/>
      <c r="G79" s="337"/>
      <c r="H79" s="1427"/>
      <c r="I79" s="588"/>
      <c r="J79" s="508"/>
      <c r="K79" s="1427"/>
      <c r="L79" s="152"/>
      <c r="M79" s="2803"/>
      <c r="N79" s="272"/>
      <c r="O79" s="1551"/>
      <c r="P79" s="1551"/>
      <c r="AH79" s="1558">
        <v>0</v>
      </c>
    </row>
    <row r="80" spans="1:34" s="1562" customFormat="1" ht="18.75" hidden="1" customHeight="1">
      <c r="A80" s="1706" t="s">
        <v>295</v>
      </c>
      <c r="B80" s="1706" t="s">
        <v>296</v>
      </c>
      <c r="C80" s="306"/>
      <c r="D80" s="3053"/>
      <c r="E80" s="2852"/>
      <c r="F80" s="2991" t="str">
        <f>INDEX(PT_DIFFERENTIATION_VTAR,MATCH(A80,PT_DIFFERENTIATION_VTAR_ID,0))</f>
        <v>Тариф на горячую воду (горячее водоснабжение)</v>
      </c>
      <c r="G80" s="3028" t="str">
        <f>INDEX(PT_DIFFERENTIATION_NTAR,MATCH(B80,PT_DIFFERENTIATION_NTAR_ID,0))</f>
        <v/>
      </c>
      <c r="H80" s="1787"/>
      <c r="I80" s="1665"/>
      <c r="J80" s="1699"/>
      <c r="K80" s="1790"/>
      <c r="L80" s="1787" t="s">
        <v>351</v>
      </c>
      <c r="M80" s="2803"/>
      <c r="N80" s="272"/>
      <c r="O80" s="1551"/>
      <c r="P80" s="1551"/>
      <c r="AH80" s="1558">
        <v>0</v>
      </c>
    </row>
    <row r="81" spans="1:34" s="1562" customFormat="1" ht="18.75" hidden="1" customHeight="1">
      <c r="A81" s="1706"/>
      <c r="B81" s="1706"/>
      <c r="C81" s="306" t="s">
        <v>1189</v>
      </c>
      <c r="D81" s="3053"/>
      <c r="E81" s="2852"/>
      <c r="F81" s="2991"/>
      <c r="G81" s="3028"/>
      <c r="H81" s="1427"/>
      <c r="I81" s="588" t="s">
        <v>1190</v>
      </c>
      <c r="J81" s="508"/>
      <c r="K81" s="1427"/>
      <c r="L81" s="152"/>
      <c r="M81" s="2803"/>
      <c r="N81" s="272"/>
      <c r="O81" s="1551"/>
      <c r="P81" s="1551"/>
      <c r="AH81" s="1558">
        <v>0</v>
      </c>
    </row>
    <row r="82" spans="1:34" s="1562" customFormat="1" ht="0.75" hidden="1" customHeight="1">
      <c r="A82" s="1706"/>
      <c r="B82" s="1706"/>
      <c r="C82" s="306" t="s">
        <v>1195</v>
      </c>
      <c r="D82" s="3053"/>
      <c r="E82" s="2852"/>
      <c r="F82" s="2991"/>
      <c r="G82" s="337"/>
      <c r="H82" s="1427"/>
      <c r="I82" s="588"/>
      <c r="J82" s="508"/>
      <c r="K82" s="1427"/>
      <c r="L82" s="152"/>
      <c r="M82" s="2803"/>
      <c r="N82" s="272"/>
      <c r="O82" s="1551"/>
      <c r="P82" s="1551"/>
      <c r="AH82" s="1558">
        <v>0</v>
      </c>
    </row>
    <row r="83" spans="1:34" s="1562" customFormat="1" ht="18.75" hidden="1" customHeight="1">
      <c r="A83" s="1706" t="s">
        <v>300</v>
      </c>
      <c r="B83" s="1706" t="s">
        <v>301</v>
      </c>
      <c r="C83" s="306"/>
      <c r="D83" s="3053"/>
      <c r="E83" s="2852"/>
      <c r="F83" s="2991" t="str">
        <f>INDEX(PT_DIFFERENTIATION_VTAR,MATCH(A83,PT_DIFFERENTIATION_VTAR_ID,0))</f>
        <v>Тариф на транспортировку горячей воды</v>
      </c>
      <c r="G83" s="3028" t="str">
        <f>INDEX(PT_DIFFERENTIATION_NTAR,MATCH(B83,PT_DIFFERENTIATION_NTAR_ID,0))</f>
        <v/>
      </c>
      <c r="H83" s="1787"/>
      <c r="I83" s="1665"/>
      <c r="J83" s="1699"/>
      <c r="K83" s="1790"/>
      <c r="L83" s="1787" t="s">
        <v>351</v>
      </c>
      <c r="M83" s="2803"/>
      <c r="N83" s="272"/>
      <c r="O83" s="1551"/>
      <c r="P83" s="1551"/>
      <c r="AH83" s="1558">
        <v>0</v>
      </c>
    </row>
    <row r="84" spans="1:34" s="1562" customFormat="1" ht="18.75" hidden="1" customHeight="1">
      <c r="A84" s="1706"/>
      <c r="B84" s="1706"/>
      <c r="C84" s="306" t="s">
        <v>1189</v>
      </c>
      <c r="D84" s="3053"/>
      <c r="E84" s="2852"/>
      <c r="F84" s="2991"/>
      <c r="G84" s="3028"/>
      <c r="H84" s="1427"/>
      <c r="I84" s="588" t="s">
        <v>1190</v>
      </c>
      <c r="J84" s="508"/>
      <c r="K84" s="1427"/>
      <c r="L84" s="152"/>
      <c r="M84" s="2803"/>
      <c r="N84" s="272"/>
      <c r="O84" s="1551"/>
      <c r="P84" s="1551"/>
      <c r="AH84" s="1558">
        <v>0</v>
      </c>
    </row>
    <row r="85" spans="1:34" s="1562" customFormat="1" ht="0.75" hidden="1" customHeight="1">
      <c r="A85" s="1706"/>
      <c r="B85" s="1706"/>
      <c r="C85" s="306" t="s">
        <v>1195</v>
      </c>
      <c r="D85" s="3053"/>
      <c r="E85" s="2852"/>
      <c r="F85" s="2991"/>
      <c r="G85" s="337"/>
      <c r="H85" s="1427"/>
      <c r="I85" s="588"/>
      <c r="J85" s="508"/>
      <c r="K85" s="1427"/>
      <c r="L85" s="152"/>
      <c r="M85" s="2803"/>
      <c r="N85" s="272"/>
      <c r="O85" s="1551"/>
      <c r="P85" s="1551"/>
      <c r="AH85" s="1558">
        <v>0</v>
      </c>
    </row>
    <row r="86" spans="1:34" s="1562" customFormat="1" ht="18.75" hidden="1" customHeight="1">
      <c r="A86" s="1706" t="s">
        <v>305</v>
      </c>
      <c r="B86" s="1706" t="s">
        <v>306</v>
      </c>
      <c r="C86" s="306"/>
      <c r="D86" s="3053"/>
      <c r="E86" s="2852"/>
      <c r="F86" s="2991" t="str">
        <f>INDEX(PT_DIFFERENTIATION_VTAR,MATCH(A86,PT_DIFFERENTIATION_VTAR_ID,0))</f>
        <v>Тариф на подключение (технологическое присоединение) к централизованной системе горячего водоснабжения</v>
      </c>
      <c r="G86" s="3028" t="str">
        <f>INDEX(PT_DIFFERENTIATION_NTAR,MATCH(B86,PT_DIFFERENTIATION_NTAR_ID,0))</f>
        <v/>
      </c>
      <c r="H86" s="1787"/>
      <c r="I86" s="1665"/>
      <c r="J86" s="1699"/>
      <c r="K86" s="1790"/>
      <c r="L86" s="1787" t="s">
        <v>351</v>
      </c>
      <c r="M86" s="2803"/>
      <c r="N86" s="272"/>
      <c r="O86" s="1551"/>
      <c r="P86" s="1551"/>
      <c r="AH86" s="1558">
        <v>0</v>
      </c>
    </row>
    <row r="87" spans="1:34" s="1562" customFormat="1" ht="18.75" hidden="1" customHeight="1">
      <c r="A87" s="1706"/>
      <c r="B87" s="1706"/>
      <c r="C87" s="306" t="s">
        <v>1189</v>
      </c>
      <c r="D87" s="3053"/>
      <c r="E87" s="2852"/>
      <c r="F87" s="2991"/>
      <c r="G87" s="3028"/>
      <c r="H87" s="1427"/>
      <c r="I87" s="588" t="s">
        <v>1190</v>
      </c>
      <c r="J87" s="508"/>
      <c r="K87" s="1427"/>
      <c r="L87" s="152"/>
      <c r="M87" s="2803"/>
      <c r="N87" s="272"/>
      <c r="O87" s="1551"/>
      <c r="P87" s="1551"/>
      <c r="AH87" s="1558">
        <v>0</v>
      </c>
    </row>
    <row r="88" spans="1:34" s="1562" customFormat="1" ht="0.75" hidden="1" customHeight="1">
      <c r="A88" s="1706"/>
      <c r="B88" s="1706"/>
      <c r="C88" s="306" t="s">
        <v>1195</v>
      </c>
      <c r="D88" s="3053"/>
      <c r="E88" s="2852"/>
      <c r="F88" s="2991"/>
      <c r="G88" s="337"/>
      <c r="H88" s="1427"/>
      <c r="I88" s="588"/>
      <c r="J88" s="508"/>
      <c r="K88" s="1427"/>
      <c r="L88" s="152"/>
      <c r="M88" s="2803"/>
      <c r="N88" s="272"/>
      <c r="O88" s="1551"/>
      <c r="P88" s="1551"/>
      <c r="AH88" s="1558">
        <v>0</v>
      </c>
    </row>
    <row r="89" spans="1:34" s="1562" customFormat="1" ht="18.75" hidden="1" customHeight="1">
      <c r="A89" s="1706" t="s">
        <v>310</v>
      </c>
      <c r="B89" s="1706" t="s">
        <v>311</v>
      </c>
      <c r="C89" s="306"/>
      <c r="D89" s="3053"/>
      <c r="E89" s="2852"/>
      <c r="F89" s="2991" t="str">
        <f>INDEX(PT_DIFFERENTIATION_VTAR,MATCH(A89,PT_DIFFERENTIATION_VTAR_ID,0))</f>
        <v>Тариф на водоотведение</v>
      </c>
      <c r="G89" s="3028" t="str">
        <f>INDEX(PT_DIFFERENTIATION_NTAR,MATCH(B89,PT_DIFFERENTIATION_NTAR_ID,0))</f>
        <v/>
      </c>
      <c r="H89" s="1787"/>
      <c r="I89" s="1665"/>
      <c r="J89" s="1699"/>
      <c r="K89" s="1790"/>
      <c r="L89" s="1787" t="s">
        <v>351</v>
      </c>
      <c r="M89" s="2803"/>
      <c r="N89" s="272"/>
      <c r="O89" s="1551"/>
      <c r="P89" s="1551"/>
      <c r="AH89" s="1558">
        <v>0</v>
      </c>
    </row>
    <row r="90" spans="1:34" s="1562" customFormat="1" ht="18.75" hidden="1" customHeight="1">
      <c r="A90" s="1706"/>
      <c r="B90" s="1706"/>
      <c r="C90" s="306" t="s">
        <v>1189</v>
      </c>
      <c r="D90" s="3053"/>
      <c r="E90" s="2852"/>
      <c r="F90" s="2991"/>
      <c r="G90" s="3028"/>
      <c r="H90" s="1427"/>
      <c r="I90" s="588" t="s">
        <v>1190</v>
      </c>
      <c r="J90" s="508"/>
      <c r="K90" s="1427"/>
      <c r="L90" s="152"/>
      <c r="M90" s="2803"/>
      <c r="N90" s="272"/>
      <c r="O90" s="1551"/>
      <c r="P90" s="1551"/>
      <c r="AH90" s="1558">
        <v>0</v>
      </c>
    </row>
    <row r="91" spans="1:34" s="1562" customFormat="1" ht="0.75" hidden="1" customHeight="1">
      <c r="A91" s="1706"/>
      <c r="B91" s="1706"/>
      <c r="C91" s="306" t="s">
        <v>1195</v>
      </c>
      <c r="D91" s="3053"/>
      <c r="E91" s="2852"/>
      <c r="F91" s="2991"/>
      <c r="G91" s="337"/>
      <c r="H91" s="1427"/>
      <c r="I91" s="588"/>
      <c r="J91" s="508"/>
      <c r="K91" s="1427"/>
      <c r="L91" s="152"/>
      <c r="M91" s="2803"/>
      <c r="N91" s="272"/>
      <c r="O91" s="1551"/>
      <c r="P91" s="1551"/>
      <c r="AH91" s="1558">
        <v>0</v>
      </c>
    </row>
    <row r="92" spans="1:34" s="1562" customFormat="1" ht="18.75" hidden="1" customHeight="1">
      <c r="A92" s="1706" t="s">
        <v>315</v>
      </c>
      <c r="B92" s="1706" t="s">
        <v>316</v>
      </c>
      <c r="C92" s="306"/>
      <c r="D92" s="3053"/>
      <c r="E92" s="2852"/>
      <c r="F92" s="2991" t="str">
        <f>INDEX(PT_DIFFERENTIATION_VTAR,MATCH(A92,PT_DIFFERENTIATION_VTAR_ID,0))</f>
        <v>Тариф на транспортировку сточных вод</v>
      </c>
      <c r="G92" s="3028" t="str">
        <f>INDEX(PT_DIFFERENTIATION_NTAR,MATCH(B92,PT_DIFFERENTIATION_NTAR_ID,0))</f>
        <v/>
      </c>
      <c r="H92" s="1787"/>
      <c r="I92" s="1665"/>
      <c r="J92" s="1699"/>
      <c r="K92" s="1790"/>
      <c r="L92" s="1787" t="s">
        <v>351</v>
      </c>
      <c r="M92" s="2803"/>
      <c r="N92" s="272"/>
      <c r="O92" s="1551"/>
      <c r="P92" s="1551"/>
      <c r="AH92" s="1558">
        <v>0</v>
      </c>
    </row>
    <row r="93" spans="1:34" s="1562" customFormat="1" ht="18.75" hidden="1" customHeight="1">
      <c r="A93" s="1706"/>
      <c r="B93" s="1706"/>
      <c r="C93" s="306" t="s">
        <v>1189</v>
      </c>
      <c r="D93" s="3053"/>
      <c r="E93" s="2852"/>
      <c r="F93" s="2991"/>
      <c r="G93" s="3028"/>
      <c r="H93" s="1427"/>
      <c r="I93" s="588" t="s">
        <v>1190</v>
      </c>
      <c r="J93" s="508"/>
      <c r="K93" s="1427"/>
      <c r="L93" s="152"/>
      <c r="M93" s="2803"/>
      <c r="N93" s="272"/>
      <c r="O93" s="1551"/>
      <c r="P93" s="1551"/>
      <c r="AH93" s="1558">
        <v>0</v>
      </c>
    </row>
    <row r="94" spans="1:34" s="1562" customFormat="1" ht="0.75" hidden="1" customHeight="1">
      <c r="A94" s="1706"/>
      <c r="B94" s="1706"/>
      <c r="C94" s="306" t="s">
        <v>1195</v>
      </c>
      <c r="D94" s="3053"/>
      <c r="E94" s="2852"/>
      <c r="F94" s="2991"/>
      <c r="G94" s="337"/>
      <c r="H94" s="1427"/>
      <c r="I94" s="588"/>
      <c r="J94" s="508"/>
      <c r="K94" s="1427"/>
      <c r="L94" s="152"/>
      <c r="M94" s="2803"/>
      <c r="N94" s="272"/>
      <c r="O94" s="1551"/>
      <c r="P94" s="1551"/>
      <c r="AH94" s="1558">
        <v>0</v>
      </c>
    </row>
    <row r="95" spans="1:34" s="1562" customFormat="1" ht="18.75" hidden="1" customHeight="1">
      <c r="A95" s="1706" t="s">
        <v>320</v>
      </c>
      <c r="B95" s="1706" t="s">
        <v>321</v>
      </c>
      <c r="C95" s="306"/>
      <c r="D95" s="3053"/>
      <c r="E95" s="2852"/>
      <c r="F95" s="2991" t="str">
        <f>INDEX(PT_DIFFERENTIATION_VTAR,MATCH(A95,PT_DIFFERENTIATION_VTAR_ID,0))</f>
        <v>Тариф на подключение (технологическое присоединение) к централизованной системе водоотведения</v>
      </c>
      <c r="G95" s="3028" t="str">
        <f>INDEX(PT_DIFFERENTIATION_NTAR,MATCH(B95,PT_DIFFERENTIATION_NTAR_ID,0))</f>
        <v/>
      </c>
      <c r="H95" s="1787"/>
      <c r="I95" s="1665"/>
      <c r="J95" s="1699"/>
      <c r="K95" s="1790"/>
      <c r="L95" s="1787" t="s">
        <v>351</v>
      </c>
      <c r="M95" s="2803"/>
      <c r="N95" s="272"/>
      <c r="O95" s="1551"/>
      <c r="P95" s="1551"/>
      <c r="AH95" s="1558">
        <v>0</v>
      </c>
    </row>
    <row r="96" spans="1:34" s="1562" customFormat="1" ht="18.75" hidden="1" customHeight="1">
      <c r="A96" s="1706"/>
      <c r="B96" s="1706"/>
      <c r="C96" s="306" t="s">
        <v>1189</v>
      </c>
      <c r="D96" s="3053"/>
      <c r="E96" s="2852"/>
      <c r="F96" s="2991"/>
      <c r="G96" s="3028"/>
      <c r="H96" s="1427"/>
      <c r="I96" s="588" t="s">
        <v>1190</v>
      </c>
      <c r="J96" s="508"/>
      <c r="K96" s="1427"/>
      <c r="L96" s="152"/>
      <c r="M96" s="2803"/>
      <c r="N96" s="272"/>
      <c r="O96" s="1551"/>
      <c r="P96" s="1551"/>
      <c r="AH96" s="1558">
        <v>0</v>
      </c>
    </row>
    <row r="97" spans="1:34" s="1562" customFormat="1" ht="0.75" customHeight="1">
      <c r="A97" s="1706"/>
      <c r="B97" s="1706"/>
      <c r="C97" s="306" t="s">
        <v>1195</v>
      </c>
      <c r="D97" s="3053"/>
      <c r="E97" s="2852"/>
      <c r="F97" s="2991"/>
      <c r="G97" s="337"/>
      <c r="H97" s="1427"/>
      <c r="I97" s="588"/>
      <c r="J97" s="508"/>
      <c r="K97" s="1427"/>
      <c r="L97" s="152"/>
      <c r="M97" s="2803"/>
      <c r="N97" s="272"/>
      <c r="O97" s="1551"/>
      <c r="P97" s="1551"/>
      <c r="AH97" s="1558">
        <v>1</v>
      </c>
    </row>
    <row r="98" spans="1:34" ht="20.25" customHeight="1">
      <c r="A98" s="1706"/>
      <c r="B98" s="1706"/>
      <c r="D98" s="313"/>
      <c r="E98" s="85" t="s">
        <v>115</v>
      </c>
      <c r="F98" s="3052" t="str">
        <f>"Долгосрочные параметры регулирования (в случае если их установление предусмотрено выбранным методом регулирования тарифов в сфере "&amp;TEMPLATE_SPHERE_RUS&amp;")"</f>
        <v>Долгосрочные параметры регулирования (в случае если их установление предусмотрено выбранным методом регулирования тарифов в сфере теплоснабжения)</v>
      </c>
      <c r="G98" s="3052"/>
      <c r="H98" s="3052"/>
      <c r="I98" s="3052"/>
      <c r="J98" s="3052"/>
      <c r="K98" s="3052"/>
      <c r="L98" s="3052"/>
      <c r="M98" s="235"/>
      <c r="N98" s="272"/>
      <c r="AH98" s="311">
        <v>19</v>
      </c>
    </row>
    <row r="99" spans="1:34" ht="36" customHeight="1">
      <c r="A99" s="1706"/>
      <c r="B99" s="1706"/>
      <c r="D99" s="313"/>
      <c r="E99" s="336"/>
      <c r="F99" s="136" t="s">
        <v>351</v>
      </c>
      <c r="G99" s="136" t="s">
        <v>351</v>
      </c>
      <c r="H99" s="2862" t="s">
        <v>351</v>
      </c>
      <c r="I99" s="2876"/>
      <c r="J99" s="136" t="s">
        <v>351</v>
      </c>
      <c r="K99" s="136" t="s">
        <v>351</v>
      </c>
      <c r="L99" s="2581" t="s">
        <v>1197</v>
      </c>
      <c r="M99" s="283" t="s">
        <v>1198</v>
      </c>
      <c r="N99" s="272"/>
      <c r="AH99" s="311">
        <v>34</v>
      </c>
    </row>
    <row r="100" spans="1:34" ht="20.25" customHeight="1">
      <c r="A100" s="1706"/>
      <c r="B100" s="1706"/>
      <c r="D100" s="313"/>
      <c r="E100" s="85" t="s">
        <v>95</v>
      </c>
      <c r="F100" s="3052" t="s">
        <v>1199</v>
      </c>
      <c r="G100" s="3052"/>
      <c r="H100" s="3052"/>
      <c r="I100" s="3052"/>
      <c r="J100" s="3052"/>
      <c r="K100" s="3052"/>
      <c r="L100" s="3052"/>
      <c r="M100" s="235"/>
      <c r="N100" s="272"/>
      <c r="AH100" s="311">
        <v>19</v>
      </c>
    </row>
    <row r="101" spans="1:34" s="1562" customFormat="1" ht="60.75" hidden="1" customHeight="1">
      <c r="A101" s="1706" t="s">
        <v>160</v>
      </c>
      <c r="B101" s="1706" t="s">
        <v>161</v>
      </c>
      <c r="C101" s="306"/>
      <c r="D101" s="3053"/>
      <c r="E101" s="2852"/>
      <c r="F101" s="2991" t="str">
        <f>INDEX(PT_DIFFERENTIATION_VTAR,MATCH(A101,PT_DIFFERENTIATION_VTAR_ID,0))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01" s="3028" t="str">
        <f>INDEX(PT_DIFFERENTIATION_NTAR,MATCH(B101,PT_DIFFERENTIATION_NTAR_ID,0))</f>
        <v/>
      </c>
      <c r="H101" s="1787"/>
      <c r="I101" s="1665"/>
      <c r="J101" s="1699"/>
      <c r="K101" s="1704"/>
      <c r="L101" s="1787" t="s">
        <v>351</v>
      </c>
      <c r="M101" s="28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необходимой валовой выручки указывается в колонке «Информация» в тыс. руб.В случае дифференциации необходимой валовой выручки по видам тарифов и (или) по срокам действия тарифов информация указывается в отдельных строках.</v>
      </c>
      <c r="N101" s="272"/>
      <c r="O101" s="1551"/>
      <c r="P101" s="1551"/>
      <c r="AH101" s="1558">
        <v>0</v>
      </c>
    </row>
    <row r="102" spans="1:34" s="1562" customFormat="1" ht="18.75" hidden="1" customHeight="1">
      <c r="A102" s="1706"/>
      <c r="B102" s="1706"/>
      <c r="C102" s="306" t="s">
        <v>1191</v>
      </c>
      <c r="D102" s="3053"/>
      <c r="E102" s="2852"/>
      <c r="F102" s="2991"/>
      <c r="G102" s="3028"/>
      <c r="H102" s="1427"/>
      <c r="I102" s="588" t="s">
        <v>1190</v>
      </c>
      <c r="J102" s="508"/>
      <c r="K102" s="1427"/>
      <c r="L102" s="152"/>
      <c r="M102" s="2803"/>
      <c r="N102" s="272"/>
      <c r="O102" s="1551"/>
      <c r="P102" s="1551"/>
      <c r="AH102" s="1558">
        <v>0</v>
      </c>
    </row>
    <row r="103" spans="1:34" s="1562" customFormat="1" ht="0.75" hidden="1" customHeight="1">
      <c r="A103" s="1706"/>
      <c r="B103" s="1706"/>
      <c r="C103" s="306" t="s">
        <v>1200</v>
      </c>
      <c r="D103" s="3053"/>
      <c r="E103" s="2852"/>
      <c r="F103" s="2991"/>
      <c r="G103" s="337"/>
      <c r="H103" s="1427"/>
      <c r="I103" s="588"/>
      <c r="J103" s="508"/>
      <c r="K103" s="1427"/>
      <c r="L103" s="152"/>
      <c r="M103" s="2803"/>
      <c r="N103" s="272"/>
      <c r="O103" s="1551"/>
      <c r="P103" s="1551"/>
      <c r="AH103" s="1558">
        <v>0</v>
      </c>
    </row>
    <row r="104" spans="1:34" s="1562" customFormat="1" ht="71.25" customHeight="1">
      <c r="A104" s="1706" t="s">
        <v>168</v>
      </c>
      <c r="B104" s="1706" t="s">
        <v>169</v>
      </c>
      <c r="C104" s="306"/>
      <c r="D104" s="3053"/>
      <c r="E104" s="2852"/>
      <c r="F104" s="2991" t="str">
        <f>INDEX(PT_DIFFERENTIATION_VTAR,MATCH(A104,PT_DIFFERENTIATION_VTAR_ID,0))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04" s="3028" t="str">
        <f>INDEX(PT_DIFFERENTIATION_NTAR,MATCH(B104,PT_DIFFERENTIATION_NTAR_ID,0))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H104" s="1787"/>
      <c r="I104" s="1665" t="s">
        <v>22</v>
      </c>
      <c r="J104" s="1699" t="s">
        <v>26</v>
      </c>
      <c r="K104" s="1704">
        <v>31088.93</v>
      </c>
      <c r="L104" s="1787" t="s">
        <v>351</v>
      </c>
      <c r="M104" s="2804"/>
      <c r="N104" s="272"/>
      <c r="O104" s="1551"/>
      <c r="P104" s="1551"/>
      <c r="AH104" s="1558">
        <v>0</v>
      </c>
    </row>
    <row r="105" spans="1:34" s="1562" customFormat="1" ht="18.75" customHeight="1">
      <c r="A105" s="1706"/>
      <c r="B105" s="1706"/>
      <c r="C105" s="306" t="s">
        <v>1191</v>
      </c>
      <c r="D105" s="3053"/>
      <c r="E105" s="2852"/>
      <c r="F105" s="2991"/>
      <c r="G105" s="3028"/>
      <c r="H105" s="1427"/>
      <c r="I105" s="588" t="s">
        <v>1190</v>
      </c>
      <c r="J105" s="508"/>
      <c r="K105" s="1427"/>
      <c r="L105" s="152"/>
      <c r="M105" s="1786"/>
      <c r="N105" s="272"/>
      <c r="O105" s="1551"/>
      <c r="P105" s="1551"/>
      <c r="AH105" s="1558">
        <v>0</v>
      </c>
    </row>
    <row r="106" spans="1:34" s="1562" customFormat="1" ht="18.75" customHeight="1">
      <c r="A106" s="1748" t="s">
        <v>168</v>
      </c>
      <c r="B106" s="1748" t="s">
        <v>180</v>
      </c>
      <c r="C106" s="1614"/>
      <c r="D106" s="3054"/>
      <c r="E106" s="3055"/>
      <c r="F106" s="3055"/>
      <c r="G106" s="3028" t="str">
        <f>INDEX(PT_DIFFERENTIATION_NTAR,MATCH(B106,PT_DIFFERENTIATION_NTAR_ID,0))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H106" s="2002"/>
      <c r="I106" s="1665" t="s">
        <v>22</v>
      </c>
      <c r="J106" s="1699" t="s">
        <v>26</v>
      </c>
      <c r="K106" s="1704">
        <v>3040.5</v>
      </c>
      <c r="L106" s="2002" t="s">
        <v>351</v>
      </c>
      <c r="M106" s="2005"/>
      <c r="N106" s="555"/>
      <c r="O106" s="1551"/>
      <c r="P106" s="1551"/>
      <c r="AH106" s="1562">
        <v>0</v>
      </c>
    </row>
    <row r="107" spans="1:34" s="1562" customFormat="1" ht="39" customHeight="1">
      <c r="A107" s="1748"/>
      <c r="B107" s="1748"/>
      <c r="C107" s="1614" t="s">
        <v>1191</v>
      </c>
      <c r="D107" s="3054"/>
      <c r="E107" s="3055"/>
      <c r="F107" s="3055"/>
      <c r="G107" s="3028"/>
      <c r="H107" s="2582"/>
      <c r="I107" s="2583" t="s">
        <v>1190</v>
      </c>
      <c r="J107" s="2584"/>
      <c r="K107" s="2585"/>
      <c r="L107" s="2586"/>
      <c r="M107" s="2005"/>
      <c r="N107" s="555"/>
      <c r="O107" s="1551"/>
      <c r="P107" s="1551"/>
      <c r="AH107" s="1562">
        <v>0</v>
      </c>
    </row>
    <row r="108" spans="1:34" s="1562" customFormat="1" ht="18.75" customHeight="1">
      <c r="A108" s="1748" t="s">
        <v>168</v>
      </c>
      <c r="B108" s="1748" t="s">
        <v>184</v>
      </c>
      <c r="C108" s="1614"/>
      <c r="D108" s="3054"/>
      <c r="E108" s="3055"/>
      <c r="F108" s="3055"/>
      <c r="G108" s="3028" t="str">
        <f>INDEX(PT_DIFFERENTIATION_NTAR,MATCH(B108,PT_DIFFERENTIATION_NTAR_ID,0))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H108" s="2002"/>
      <c r="I108" s="1665" t="s">
        <v>22</v>
      </c>
      <c r="J108" s="1699" t="s">
        <v>26</v>
      </c>
      <c r="K108" s="1704">
        <v>4797.43</v>
      </c>
      <c r="L108" s="2002" t="s">
        <v>351</v>
      </c>
      <c r="M108" s="2005"/>
      <c r="N108" s="555"/>
      <c r="O108" s="1551"/>
      <c r="P108" s="1551"/>
      <c r="AH108" s="1562">
        <v>0</v>
      </c>
    </row>
    <row r="109" spans="1:34" s="1562" customFormat="1" ht="42" customHeight="1">
      <c r="A109" s="1748"/>
      <c r="B109" s="1748"/>
      <c r="C109" s="1614" t="s">
        <v>1191</v>
      </c>
      <c r="D109" s="3054"/>
      <c r="E109" s="3055"/>
      <c r="F109" s="3055"/>
      <c r="G109" s="3028"/>
      <c r="H109" s="2587"/>
      <c r="I109" s="2588" t="s">
        <v>1190</v>
      </c>
      <c r="J109" s="2589"/>
      <c r="K109" s="2590"/>
      <c r="L109" s="2591"/>
      <c r="M109" s="2005"/>
      <c r="N109" s="555"/>
      <c r="O109" s="1551"/>
      <c r="P109" s="1551"/>
      <c r="AH109" s="1562">
        <v>0</v>
      </c>
    </row>
    <row r="110" spans="1:34" s="1562" customFormat="1" ht="18.75" customHeight="1">
      <c r="A110" s="1748" t="s">
        <v>168</v>
      </c>
      <c r="B110" s="1748" t="s">
        <v>188</v>
      </c>
      <c r="C110" s="1614"/>
      <c r="D110" s="3054"/>
      <c r="E110" s="3055"/>
      <c r="F110" s="3055"/>
      <c r="G110" s="3028" t="str">
        <f>INDEX(PT_DIFFERENTIATION_NTAR,MATCH(B110,PT_DIFFERENTIATION_NTAR_ID,0))</f>
        <v>Тарифы на тепловую энергию, поставляемую потребителям г. Тюмени от котельной, расположенной по адресу: г.Тюмень, ул. Луначарского, 18, строение 1 (Котельная № 7)</v>
      </c>
      <c r="H110" s="2002"/>
      <c r="I110" s="1665" t="s">
        <v>22</v>
      </c>
      <c r="J110" s="1699" t="s">
        <v>26</v>
      </c>
      <c r="K110" s="1704">
        <v>5192.07</v>
      </c>
      <c r="L110" s="2002" t="s">
        <v>351</v>
      </c>
      <c r="M110" s="2005"/>
      <c r="N110" s="555"/>
      <c r="O110" s="1551"/>
      <c r="P110" s="1551"/>
      <c r="AH110" s="1562">
        <v>0</v>
      </c>
    </row>
    <row r="111" spans="1:34" s="1562" customFormat="1" ht="42" customHeight="1">
      <c r="A111" s="1748"/>
      <c r="B111" s="1748"/>
      <c r="C111" s="1614" t="s">
        <v>1191</v>
      </c>
      <c r="D111" s="3054"/>
      <c r="E111" s="3055"/>
      <c r="F111" s="3055"/>
      <c r="G111" s="3028"/>
      <c r="H111" s="2592"/>
      <c r="I111" s="2593" t="s">
        <v>1190</v>
      </c>
      <c r="J111" s="2594"/>
      <c r="K111" s="2595"/>
      <c r="L111" s="2596"/>
      <c r="M111" s="2005"/>
      <c r="N111" s="555"/>
      <c r="O111" s="1551"/>
      <c r="P111" s="1551"/>
      <c r="AH111" s="1562">
        <v>0</v>
      </c>
    </row>
    <row r="112" spans="1:34" s="1562" customFormat="1" ht="18.75" customHeight="1">
      <c r="A112" s="1748" t="s">
        <v>168</v>
      </c>
      <c r="B112" s="1748" t="s">
        <v>193</v>
      </c>
      <c r="C112" s="1614"/>
      <c r="D112" s="3054"/>
      <c r="E112" s="3055"/>
      <c r="F112" s="3055"/>
      <c r="G112" s="3028" t="str">
        <f>INDEX(PT_DIFFERENTIATION_NTAR,MATCH(B112,PT_DIFFERENTIATION_NTAR_ID,0))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H112" s="2002"/>
      <c r="I112" s="1665" t="s">
        <v>22</v>
      </c>
      <c r="J112" s="1699" t="s">
        <v>26</v>
      </c>
      <c r="K112" s="1704">
        <v>1552.04</v>
      </c>
      <c r="L112" s="2002" t="s">
        <v>351</v>
      </c>
      <c r="M112" s="2005"/>
      <c r="N112" s="555"/>
      <c r="O112" s="1551"/>
      <c r="P112" s="1551"/>
      <c r="AH112" s="1562">
        <v>0</v>
      </c>
    </row>
    <row r="113" spans="1:34" s="1562" customFormat="1" ht="39.75" customHeight="1">
      <c r="A113" s="1748"/>
      <c r="B113" s="1748"/>
      <c r="C113" s="1614" t="s">
        <v>1191</v>
      </c>
      <c r="D113" s="3054"/>
      <c r="E113" s="3055"/>
      <c r="F113" s="3055"/>
      <c r="G113" s="3028"/>
      <c r="H113" s="2597"/>
      <c r="I113" s="2598" t="s">
        <v>1190</v>
      </c>
      <c r="J113" s="2599"/>
      <c r="K113" s="2600"/>
      <c r="L113" s="2601"/>
      <c r="M113" s="2005"/>
      <c r="N113" s="555"/>
      <c r="O113" s="1551"/>
      <c r="P113" s="1551"/>
      <c r="AH113" s="1562">
        <v>0</v>
      </c>
    </row>
    <row r="114" spans="1:34" s="1562" customFormat="1" ht="18.75" customHeight="1">
      <c r="A114" s="1748" t="s">
        <v>168</v>
      </c>
      <c r="B114" s="1748" t="s">
        <v>198</v>
      </c>
      <c r="C114" s="1614"/>
      <c r="D114" s="3054"/>
      <c r="E114" s="3055"/>
      <c r="F114" s="3055"/>
      <c r="G114" s="3028" t="str">
        <f>INDEX(PT_DIFFERENTIATION_NTAR,MATCH(B114,PT_DIFFERENTIATION_NTAR_ID,0))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H114" s="2002"/>
      <c r="I114" s="1665" t="s">
        <v>22</v>
      </c>
      <c r="J114" s="1699" t="s">
        <v>26</v>
      </c>
      <c r="K114" s="1704">
        <v>8066.95</v>
      </c>
      <c r="L114" s="2002" t="s">
        <v>351</v>
      </c>
      <c r="M114" s="2005"/>
      <c r="N114" s="555"/>
      <c r="O114" s="1551"/>
      <c r="P114" s="1551"/>
      <c r="AH114" s="1562">
        <v>0</v>
      </c>
    </row>
    <row r="115" spans="1:34" s="1562" customFormat="1" ht="66" customHeight="1">
      <c r="A115" s="1748"/>
      <c r="B115" s="1748"/>
      <c r="C115" s="1614" t="s">
        <v>1191</v>
      </c>
      <c r="D115" s="3054"/>
      <c r="E115" s="3055"/>
      <c r="F115" s="3055"/>
      <c r="G115" s="3028"/>
      <c r="H115" s="2602"/>
      <c r="I115" s="2603" t="s">
        <v>1190</v>
      </c>
      <c r="J115" s="2604"/>
      <c r="K115" s="2605"/>
      <c r="L115" s="2606"/>
      <c r="M115" s="2005"/>
      <c r="N115" s="555"/>
      <c r="O115" s="1551"/>
      <c r="P115" s="1551"/>
      <c r="AH115" s="1562">
        <v>0</v>
      </c>
    </row>
    <row r="116" spans="1:34" s="1562" customFormat="1" ht="18.75" customHeight="1">
      <c r="A116" s="1748" t="s">
        <v>168</v>
      </c>
      <c r="B116" s="1748" t="s">
        <v>203</v>
      </c>
      <c r="C116" s="1614"/>
      <c r="D116" s="3054"/>
      <c r="E116" s="3055"/>
      <c r="F116" s="3055"/>
      <c r="G116" s="3028" t="str">
        <f>INDEX(PT_DIFFERENTIATION_NTAR,MATCH(B116,PT_DIFFERENTIATION_NTAR_ID,0))</f>
        <v>Тарифы на тепловую энергию, поставляемую потребителям г. Тюмени от котельной, расположенной по адресу: г.Тюмень, ул. Сказочная, 26, строение 2 (Котельная № 14)</v>
      </c>
      <c r="H116" s="2002"/>
      <c r="I116" s="1665" t="s">
        <v>22</v>
      </c>
      <c r="J116" s="1699" t="s">
        <v>26</v>
      </c>
      <c r="K116" s="1704">
        <v>29441.96</v>
      </c>
      <c r="L116" s="2002" t="s">
        <v>351</v>
      </c>
      <c r="M116" s="2005"/>
      <c r="N116" s="555"/>
      <c r="O116" s="1551"/>
      <c r="P116" s="1551"/>
      <c r="AH116" s="1562">
        <v>0</v>
      </c>
    </row>
    <row r="117" spans="1:34" s="1562" customFormat="1" ht="45" customHeight="1">
      <c r="A117" s="1748"/>
      <c r="B117" s="1748"/>
      <c r="C117" s="1614" t="s">
        <v>1191</v>
      </c>
      <c r="D117" s="3054"/>
      <c r="E117" s="3055"/>
      <c r="F117" s="3055"/>
      <c r="G117" s="3028"/>
      <c r="H117" s="2607"/>
      <c r="I117" s="2608" t="s">
        <v>1190</v>
      </c>
      <c r="J117" s="2609"/>
      <c r="K117" s="2610"/>
      <c r="L117" s="2611"/>
      <c r="M117" s="2005"/>
      <c r="N117" s="555"/>
      <c r="O117" s="1551"/>
      <c r="P117" s="1551"/>
      <c r="AH117" s="1562">
        <v>0</v>
      </c>
    </row>
    <row r="118" spans="1:34" s="1562" customFormat="1" ht="18.75" customHeight="1">
      <c r="A118" s="1748" t="s">
        <v>168</v>
      </c>
      <c r="B118" s="1748" t="s">
        <v>208</v>
      </c>
      <c r="C118" s="1614"/>
      <c r="D118" s="3054"/>
      <c r="E118" s="3055"/>
      <c r="F118" s="3055"/>
      <c r="G118" s="3028" t="str">
        <f>INDEX(PT_DIFFERENTIATION_NTAR,MATCH(B118,PT_DIFFERENTIATION_NTAR_ID,0))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H118" s="2002"/>
      <c r="I118" s="1665" t="s">
        <v>22</v>
      </c>
      <c r="J118" s="1699" t="s">
        <v>26</v>
      </c>
      <c r="K118" s="1704">
        <v>7835.04</v>
      </c>
      <c r="L118" s="2002" t="s">
        <v>351</v>
      </c>
      <c r="M118" s="2005"/>
      <c r="N118" s="555"/>
      <c r="O118" s="1551"/>
      <c r="P118" s="1551"/>
      <c r="AH118" s="1562">
        <v>0</v>
      </c>
    </row>
    <row r="119" spans="1:34" s="1562" customFormat="1" ht="42" customHeight="1">
      <c r="A119" s="1748"/>
      <c r="B119" s="1748"/>
      <c r="C119" s="1614" t="s">
        <v>1191</v>
      </c>
      <c r="D119" s="3054"/>
      <c r="E119" s="3055"/>
      <c r="F119" s="3055"/>
      <c r="G119" s="3028"/>
      <c r="H119" s="2612"/>
      <c r="I119" s="2613" t="s">
        <v>1190</v>
      </c>
      <c r="J119" s="2614"/>
      <c r="K119" s="2615"/>
      <c r="L119" s="2616"/>
      <c r="M119" s="2005"/>
      <c r="N119" s="555"/>
      <c r="O119" s="1551"/>
      <c r="P119" s="1551"/>
      <c r="AH119" s="1562">
        <v>0</v>
      </c>
    </row>
    <row r="120" spans="1:34" s="1562" customFormat="1" ht="0.75" customHeight="1">
      <c r="A120" s="1706"/>
      <c r="B120" s="1706"/>
      <c r="C120" s="306" t="s">
        <v>1200</v>
      </c>
      <c r="D120" s="3053"/>
      <c r="E120" s="2852"/>
      <c r="F120" s="2991"/>
      <c r="G120" s="337"/>
      <c r="H120" s="1427"/>
      <c r="I120" s="588"/>
      <c r="J120" s="508"/>
      <c r="K120" s="1427"/>
      <c r="L120" s="152"/>
      <c r="M120" s="279"/>
      <c r="N120" s="272"/>
      <c r="O120" s="1551"/>
      <c r="P120" s="1551"/>
      <c r="AH120" s="1558">
        <v>0</v>
      </c>
    </row>
    <row r="121" spans="1:34" s="1562" customFormat="1" ht="45" hidden="1" customHeight="1">
      <c r="A121" s="1706" t="s">
        <v>214</v>
      </c>
      <c r="B121" s="1706" t="s">
        <v>215</v>
      </c>
      <c r="C121" s="306"/>
      <c r="D121" s="3053"/>
      <c r="E121" s="2852"/>
      <c r="F121" s="2991" t="str">
        <f>INDEX(PT_DIFFERENTIATION_VTAR,MATCH(A121,PT_DIFFERENTIATION_VTAR_ID,0))</f>
        <v>Тарифы на теплоноситель, поставляемый теплоснабжающими организациями потребителям, другим теплоснабжающим организациям</v>
      </c>
      <c r="G121" s="3028" t="str">
        <f>INDEX(PT_DIFFERENTIATION_NTAR,MATCH(B121,PT_DIFFERENTIATION_NTAR_ID,0))</f>
        <v/>
      </c>
      <c r="H121" s="1787"/>
      <c r="I121" s="1665"/>
      <c r="J121" s="1699"/>
      <c r="K121" s="1704"/>
      <c r="L121" s="1787" t="s">
        <v>351</v>
      </c>
      <c r="M121" s="279"/>
      <c r="N121" s="272"/>
      <c r="O121" s="1551"/>
      <c r="P121" s="1551"/>
      <c r="AH121" s="1558">
        <v>0</v>
      </c>
    </row>
    <row r="122" spans="1:34" s="1562" customFormat="1" ht="18.75" hidden="1" customHeight="1">
      <c r="A122" s="1706"/>
      <c r="B122" s="1706"/>
      <c r="C122" s="306" t="s">
        <v>1191</v>
      </c>
      <c r="D122" s="3053"/>
      <c r="E122" s="2852"/>
      <c r="F122" s="2991"/>
      <c r="G122" s="3028"/>
      <c r="H122" s="1427"/>
      <c r="I122" s="588" t="s">
        <v>1190</v>
      </c>
      <c r="J122" s="508"/>
      <c r="K122" s="1427"/>
      <c r="L122" s="152"/>
      <c r="M122" s="279"/>
      <c r="N122" s="272"/>
      <c r="O122" s="1551"/>
      <c r="P122" s="1551"/>
      <c r="AH122" s="1558">
        <v>0</v>
      </c>
    </row>
    <row r="123" spans="1:34" s="1562" customFormat="1" ht="0.75" hidden="1" customHeight="1">
      <c r="A123" s="1706"/>
      <c r="B123" s="1706"/>
      <c r="C123" s="306" t="s">
        <v>1200</v>
      </c>
      <c r="D123" s="3053"/>
      <c r="E123" s="2852"/>
      <c r="F123" s="2991"/>
      <c r="G123" s="337"/>
      <c r="H123" s="1427"/>
      <c r="I123" s="588"/>
      <c r="J123" s="508"/>
      <c r="K123" s="1427"/>
      <c r="L123" s="152"/>
      <c r="M123" s="279"/>
      <c r="N123" s="272"/>
      <c r="O123" s="1551"/>
      <c r="P123" s="1551"/>
      <c r="AH123" s="1558">
        <v>0</v>
      </c>
    </row>
    <row r="124" spans="1:34" s="1562" customFormat="1" ht="45" hidden="1" customHeight="1">
      <c r="A124" s="1706" t="s">
        <v>220</v>
      </c>
      <c r="B124" s="1706" t="s">
        <v>221</v>
      </c>
      <c r="C124" s="306"/>
      <c r="D124" s="3053"/>
      <c r="E124" s="2852"/>
      <c r="F124" s="2991" t="str">
        <f>INDEX(PT_DIFFERENTIATION_VTAR,MATCH(A124,PT_DIFFERENTIATION_VTAR_ID,0))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24" s="3028" t="str">
        <f>INDEX(PT_DIFFERENTIATION_NTAR,MATCH(B124,PT_DIFFERENTIATION_NTAR_ID,0))</f>
        <v/>
      </c>
      <c r="H124" s="1787"/>
      <c r="I124" s="1665"/>
      <c r="J124" s="1699"/>
      <c r="K124" s="1704"/>
      <c r="L124" s="1787" t="s">
        <v>351</v>
      </c>
      <c r="M124" s="279"/>
      <c r="N124" s="272"/>
      <c r="O124" s="1551"/>
      <c r="P124" s="1551"/>
      <c r="AH124" s="1558">
        <v>0</v>
      </c>
    </row>
    <row r="125" spans="1:34" s="1562" customFormat="1" ht="18.75" hidden="1" customHeight="1">
      <c r="A125" s="1706"/>
      <c r="B125" s="1706"/>
      <c r="C125" s="306" t="s">
        <v>1191</v>
      </c>
      <c r="D125" s="3053"/>
      <c r="E125" s="2852"/>
      <c r="F125" s="2991"/>
      <c r="G125" s="3028"/>
      <c r="H125" s="1427"/>
      <c r="I125" s="588" t="s">
        <v>1190</v>
      </c>
      <c r="J125" s="508"/>
      <c r="K125" s="1427"/>
      <c r="L125" s="152"/>
      <c r="M125" s="279"/>
      <c r="N125" s="272"/>
      <c r="O125" s="1551"/>
      <c r="P125" s="1551"/>
      <c r="AH125" s="1558">
        <v>0</v>
      </c>
    </row>
    <row r="126" spans="1:34" s="1562" customFormat="1" ht="0.75" hidden="1" customHeight="1">
      <c r="A126" s="1706"/>
      <c r="B126" s="1706"/>
      <c r="C126" s="306" t="s">
        <v>1200</v>
      </c>
      <c r="D126" s="3053"/>
      <c r="E126" s="2852"/>
      <c r="F126" s="2991"/>
      <c r="G126" s="337"/>
      <c r="H126" s="1427"/>
      <c r="I126" s="588"/>
      <c r="J126" s="508"/>
      <c r="K126" s="1427"/>
      <c r="L126" s="152"/>
      <c r="M126" s="279"/>
      <c r="N126" s="272"/>
      <c r="O126" s="1551"/>
      <c r="P126" s="1551"/>
      <c r="AH126" s="1558">
        <v>0</v>
      </c>
    </row>
    <row r="127" spans="1:34" s="1562" customFormat="1" ht="18.75" hidden="1" customHeight="1">
      <c r="A127" s="1706" t="s">
        <v>226</v>
      </c>
      <c r="B127" s="1706" t="s">
        <v>227</v>
      </c>
      <c r="C127" s="306"/>
      <c r="D127" s="3053"/>
      <c r="E127" s="2852"/>
      <c r="F127" s="2991" t="str">
        <f>INDEX(PT_DIFFERENTIATION_VTAR,MATCH(A127,PT_DIFFERENTIATION_VTAR_ID,0))</f>
        <v>Тарифы на услуги по передаче тепловой энергии</v>
      </c>
      <c r="G127" s="3028" t="str">
        <f>INDEX(PT_DIFFERENTIATION_NTAR,MATCH(B127,PT_DIFFERENTIATION_NTAR_ID,0))</f>
        <v/>
      </c>
      <c r="H127" s="1787"/>
      <c r="I127" s="1665"/>
      <c r="J127" s="1699"/>
      <c r="K127" s="1704"/>
      <c r="L127" s="1787" t="s">
        <v>351</v>
      </c>
      <c r="M127" s="279"/>
      <c r="N127" s="272"/>
      <c r="O127" s="1551"/>
      <c r="P127" s="1551"/>
      <c r="AH127" s="1558">
        <v>0</v>
      </c>
    </row>
    <row r="128" spans="1:34" s="1562" customFormat="1" ht="18.75" hidden="1" customHeight="1">
      <c r="A128" s="1706"/>
      <c r="B128" s="1706"/>
      <c r="C128" s="306" t="s">
        <v>1191</v>
      </c>
      <c r="D128" s="3053"/>
      <c r="E128" s="2852"/>
      <c r="F128" s="2991"/>
      <c r="G128" s="3028"/>
      <c r="H128" s="1427"/>
      <c r="I128" s="588" t="s">
        <v>1190</v>
      </c>
      <c r="J128" s="508"/>
      <c r="K128" s="1427"/>
      <c r="L128" s="152"/>
      <c r="M128" s="279"/>
      <c r="N128" s="272"/>
      <c r="O128" s="1551"/>
      <c r="P128" s="1551"/>
      <c r="AH128" s="1558">
        <v>0</v>
      </c>
    </row>
    <row r="129" spans="1:34" s="1562" customFormat="1" ht="0.75" hidden="1" customHeight="1">
      <c r="A129" s="1706"/>
      <c r="B129" s="1706"/>
      <c r="C129" s="306" t="s">
        <v>1200</v>
      </c>
      <c r="D129" s="3053"/>
      <c r="E129" s="2852"/>
      <c r="F129" s="2991"/>
      <c r="G129" s="337"/>
      <c r="H129" s="1427"/>
      <c r="I129" s="588"/>
      <c r="J129" s="508"/>
      <c r="K129" s="1427"/>
      <c r="L129" s="152"/>
      <c r="M129" s="279"/>
      <c r="N129" s="272"/>
      <c r="O129" s="1551"/>
      <c r="P129" s="1551"/>
      <c r="AH129" s="1558">
        <v>0</v>
      </c>
    </row>
    <row r="130" spans="1:34" s="1562" customFormat="1" ht="18.75" hidden="1" customHeight="1">
      <c r="A130" s="1706" t="s">
        <v>232</v>
      </c>
      <c r="B130" s="1706" t="s">
        <v>233</v>
      </c>
      <c r="C130" s="306"/>
      <c r="D130" s="3053"/>
      <c r="E130" s="2852"/>
      <c r="F130" s="2991" t="str">
        <f>INDEX(PT_DIFFERENTIATION_VTAR,MATCH(A130,PT_DIFFERENTIATION_VTAR_ID,0))</f>
        <v>Тарифы на услуги по передаче теплоносителя</v>
      </c>
      <c r="G130" s="3028" t="str">
        <f>INDEX(PT_DIFFERENTIATION_NTAR,MATCH(B130,PT_DIFFERENTIATION_NTAR_ID,0))</f>
        <v/>
      </c>
      <c r="H130" s="1787"/>
      <c r="I130" s="1665"/>
      <c r="J130" s="1699"/>
      <c r="K130" s="1704"/>
      <c r="L130" s="1787" t="s">
        <v>351</v>
      </c>
      <c r="M130" s="279"/>
      <c r="N130" s="272"/>
      <c r="O130" s="1551"/>
      <c r="P130" s="1551"/>
      <c r="AH130" s="1558">
        <v>0</v>
      </c>
    </row>
    <row r="131" spans="1:34" s="1562" customFormat="1" ht="18.75" hidden="1" customHeight="1">
      <c r="A131" s="1706"/>
      <c r="B131" s="1706"/>
      <c r="C131" s="306" t="s">
        <v>1191</v>
      </c>
      <c r="D131" s="3053"/>
      <c r="E131" s="2852"/>
      <c r="F131" s="2991"/>
      <c r="G131" s="3028"/>
      <c r="H131" s="1427"/>
      <c r="I131" s="588" t="s">
        <v>1190</v>
      </c>
      <c r="J131" s="508"/>
      <c r="K131" s="1427"/>
      <c r="L131" s="152"/>
      <c r="M131" s="279"/>
      <c r="N131" s="272"/>
      <c r="O131" s="1551"/>
      <c r="P131" s="1551"/>
      <c r="AH131" s="1558">
        <v>0</v>
      </c>
    </row>
    <row r="132" spans="1:34" s="1562" customFormat="1" ht="0.75" hidden="1" customHeight="1">
      <c r="A132" s="1706"/>
      <c r="B132" s="1706"/>
      <c r="C132" s="306" t="s">
        <v>1200</v>
      </c>
      <c r="D132" s="3053"/>
      <c r="E132" s="2852"/>
      <c r="F132" s="2991"/>
      <c r="G132" s="337"/>
      <c r="H132" s="1427"/>
      <c r="I132" s="588"/>
      <c r="J132" s="508"/>
      <c r="K132" s="1427"/>
      <c r="L132" s="152"/>
      <c r="M132" s="279"/>
      <c r="N132" s="272"/>
      <c r="O132" s="1551"/>
      <c r="P132" s="1551"/>
      <c r="AH132" s="1558">
        <v>0</v>
      </c>
    </row>
    <row r="133" spans="1:34" s="1562" customFormat="1" ht="18.75" hidden="1" customHeight="1">
      <c r="A133" s="1706" t="s">
        <v>238</v>
      </c>
      <c r="B133" s="1706" t="s">
        <v>239</v>
      </c>
      <c r="C133" s="306"/>
      <c r="D133" s="3053"/>
      <c r="E133" s="2852"/>
      <c r="F133" s="2991" t="str">
        <f>INDEX(PT_DIFFERENTIATION_VTAR,MATCH(A133,PT_DIFFERENTIATION_VTAR_ID,0))</f>
        <v>Плата за услуги по поддержанию резервной тепловой мощности при отсутствии потребления тепловой энергии</v>
      </c>
      <c r="G133" s="3028" t="str">
        <f>INDEX(PT_DIFFERENTIATION_NTAR,MATCH(B133,PT_DIFFERENTIATION_NTAR_ID,0))</f>
        <v/>
      </c>
      <c r="H133" s="1787"/>
      <c r="I133" s="1665"/>
      <c r="J133" s="1699"/>
      <c r="K133" s="1704"/>
      <c r="L133" s="1787" t="s">
        <v>351</v>
      </c>
      <c r="M133" s="279"/>
      <c r="N133" s="272"/>
      <c r="O133" s="1551"/>
      <c r="P133" s="1551"/>
      <c r="AH133" s="1558">
        <v>0</v>
      </c>
    </row>
    <row r="134" spans="1:34" s="1562" customFormat="1" ht="18.75" hidden="1" customHeight="1">
      <c r="A134" s="1706"/>
      <c r="B134" s="1706"/>
      <c r="C134" s="306" t="s">
        <v>1191</v>
      </c>
      <c r="D134" s="3053"/>
      <c r="E134" s="2852"/>
      <c r="F134" s="2991"/>
      <c r="G134" s="3028"/>
      <c r="H134" s="1427"/>
      <c r="I134" s="588" t="s">
        <v>1190</v>
      </c>
      <c r="J134" s="508"/>
      <c r="K134" s="1427"/>
      <c r="L134" s="152"/>
      <c r="M134" s="279"/>
      <c r="N134" s="272"/>
      <c r="O134" s="1551"/>
      <c r="P134" s="1551"/>
      <c r="AH134" s="1558">
        <v>0</v>
      </c>
    </row>
    <row r="135" spans="1:34" s="1562" customFormat="1" ht="0.75" hidden="1" customHeight="1">
      <c r="A135" s="1706"/>
      <c r="B135" s="1706"/>
      <c r="C135" s="306" t="s">
        <v>1200</v>
      </c>
      <c r="D135" s="3053"/>
      <c r="E135" s="2852"/>
      <c r="F135" s="2991"/>
      <c r="G135" s="337"/>
      <c r="H135" s="1427"/>
      <c r="I135" s="588"/>
      <c r="J135" s="508"/>
      <c r="K135" s="1427"/>
      <c r="L135" s="152"/>
      <c r="M135" s="279"/>
      <c r="N135" s="272"/>
      <c r="O135" s="1551"/>
      <c r="P135" s="1551"/>
      <c r="AH135" s="1558">
        <v>0</v>
      </c>
    </row>
    <row r="136" spans="1:34" s="1562" customFormat="1" ht="18.75" hidden="1" customHeight="1">
      <c r="A136" s="1706" t="s">
        <v>244</v>
      </c>
      <c r="B136" s="1706" t="s">
        <v>245</v>
      </c>
      <c r="C136" s="306"/>
      <c r="D136" s="3053"/>
      <c r="E136" s="2852"/>
      <c r="F136" s="2991" t="str">
        <f>INDEX(PT_DIFFERENTIATION_VTAR,MATCH(A136,PT_DIFFERENTIATION_VTAR_ID,0))</f>
        <v>Плата за подключение (технологическое присоединение) к системе теплоснабжения</v>
      </c>
      <c r="G136" s="3028" t="str">
        <f>INDEX(PT_DIFFERENTIATION_NTAR,MATCH(B136,PT_DIFFERENTIATION_NTAR_ID,0))</f>
        <v/>
      </c>
      <c r="H136" s="1787"/>
      <c r="I136" s="1665"/>
      <c r="J136" s="1699"/>
      <c r="K136" s="1704"/>
      <c r="L136" s="1787" t="s">
        <v>351</v>
      </c>
      <c r="M136" s="279"/>
      <c r="N136" s="272"/>
      <c r="O136" s="1551"/>
      <c r="P136" s="1551"/>
      <c r="AH136" s="1558">
        <v>0</v>
      </c>
    </row>
    <row r="137" spans="1:34" s="1562" customFormat="1" ht="18.75" hidden="1" customHeight="1">
      <c r="A137" s="1706"/>
      <c r="B137" s="1706"/>
      <c r="C137" s="306" t="s">
        <v>1191</v>
      </c>
      <c r="D137" s="3053"/>
      <c r="E137" s="2852"/>
      <c r="F137" s="2991"/>
      <c r="G137" s="3028"/>
      <c r="H137" s="1427"/>
      <c r="I137" s="588" t="s">
        <v>1190</v>
      </c>
      <c r="J137" s="508"/>
      <c r="K137" s="1427"/>
      <c r="L137" s="152"/>
      <c r="M137" s="279"/>
      <c r="N137" s="272"/>
      <c r="O137" s="1551"/>
      <c r="P137" s="1551"/>
      <c r="AH137" s="1558">
        <v>0</v>
      </c>
    </row>
    <row r="138" spans="1:34" s="1562" customFormat="1" ht="0.75" hidden="1" customHeight="1">
      <c r="A138" s="1706"/>
      <c r="B138" s="1706"/>
      <c r="C138" s="306" t="s">
        <v>1200</v>
      </c>
      <c r="D138" s="3053"/>
      <c r="E138" s="2852"/>
      <c r="F138" s="2991"/>
      <c r="G138" s="337"/>
      <c r="H138" s="1427"/>
      <c r="I138" s="588"/>
      <c r="J138" s="508"/>
      <c r="K138" s="1427"/>
      <c r="L138" s="152"/>
      <c r="M138" s="279"/>
      <c r="N138" s="272"/>
      <c r="O138" s="1551"/>
      <c r="P138" s="1551"/>
      <c r="AH138" s="1558">
        <v>0</v>
      </c>
    </row>
    <row r="139" spans="1:34" s="1562" customFormat="1" ht="18.75" hidden="1" customHeight="1">
      <c r="A139" s="1706" t="s">
        <v>250</v>
      </c>
      <c r="B139" s="1706" t="s">
        <v>251</v>
      </c>
      <c r="C139" s="306"/>
      <c r="D139" s="3053"/>
      <c r="E139" s="2852"/>
      <c r="F139" s="2991" t="str">
        <f>INDEX(PT_DIFFERENTIATION_VTAR,MATCH(A139,PT_DIFFERENTIATION_VTAR_ID,0))</f>
        <v>Плата за подключение (технологическое присоединение) к системе теплоснабжения (индивидуальная)</v>
      </c>
      <c r="G139" s="3028" t="str">
        <f>INDEX(PT_DIFFERENTIATION_NTAR,MATCH(B139,PT_DIFFERENTIATION_NTAR_ID,0))</f>
        <v/>
      </c>
      <c r="H139" s="1911"/>
      <c r="I139" s="1665"/>
      <c r="J139" s="1699"/>
      <c r="K139" s="1704"/>
      <c r="L139" s="1911" t="s">
        <v>351</v>
      </c>
      <c r="M139" s="279"/>
      <c r="N139" s="272"/>
      <c r="O139" s="1551"/>
      <c r="P139" s="1551"/>
      <c r="AH139" s="1558">
        <v>0</v>
      </c>
    </row>
    <row r="140" spans="1:34" s="1562" customFormat="1" ht="18.75" hidden="1" customHeight="1">
      <c r="A140" s="1706"/>
      <c r="B140" s="1706"/>
      <c r="C140" s="306" t="s">
        <v>1191</v>
      </c>
      <c r="D140" s="3053"/>
      <c r="E140" s="2852"/>
      <c r="F140" s="2991"/>
      <c r="G140" s="3028"/>
      <c r="H140" s="1427"/>
      <c r="I140" s="588" t="s">
        <v>1190</v>
      </c>
      <c r="J140" s="508"/>
      <c r="K140" s="1427"/>
      <c r="L140" s="152"/>
      <c r="M140" s="279"/>
      <c r="N140" s="272"/>
      <c r="O140" s="1551"/>
      <c r="P140" s="1551"/>
      <c r="AH140" s="1558">
        <v>0</v>
      </c>
    </row>
    <row r="141" spans="1:34" s="1562" customFormat="1" ht="0.75" hidden="1" customHeight="1">
      <c r="A141" s="1706"/>
      <c r="B141" s="1706"/>
      <c r="C141" s="306" t="s">
        <v>1200</v>
      </c>
      <c r="D141" s="3053"/>
      <c r="E141" s="2852"/>
      <c r="F141" s="2991"/>
      <c r="G141" s="337"/>
      <c r="H141" s="1427"/>
      <c r="I141" s="588"/>
      <c r="J141" s="508"/>
      <c r="K141" s="1427"/>
      <c r="L141" s="152"/>
      <c r="M141" s="279"/>
      <c r="N141" s="272"/>
      <c r="O141" s="1551"/>
      <c r="P141" s="1551"/>
      <c r="AH141" s="1558">
        <v>0</v>
      </c>
    </row>
    <row r="142" spans="1:34" s="1562" customFormat="1" ht="18.75" hidden="1" customHeight="1">
      <c r="A142" s="1706" t="s">
        <v>270</v>
      </c>
      <c r="B142" s="1706" t="s">
        <v>271</v>
      </c>
      <c r="C142" s="306"/>
      <c r="D142" s="3053"/>
      <c r="E142" s="2852"/>
      <c r="F142" s="2991" t="str">
        <f>INDEX(PT_DIFFERENTIATION_VTAR,MATCH(A142,PT_DIFFERENTIATION_VTAR_ID,0))</f>
        <v>Тариф на питьевую воду (питьевое водоснабжение)</v>
      </c>
      <c r="G142" s="3028" t="str">
        <f>INDEX(PT_DIFFERENTIATION_NTAR,MATCH(B142,PT_DIFFERENTIATION_NTAR_ID,0))</f>
        <v/>
      </c>
      <c r="H142" s="1787"/>
      <c r="I142" s="1665"/>
      <c r="J142" s="1699"/>
      <c r="K142" s="1704"/>
      <c r="L142" s="1787" t="s">
        <v>351</v>
      </c>
      <c r="M142" s="279"/>
      <c r="N142" s="272"/>
      <c r="O142" s="1551"/>
      <c r="P142" s="1551"/>
      <c r="AH142" s="1558">
        <v>0</v>
      </c>
    </row>
    <row r="143" spans="1:34" s="1562" customFormat="1" ht="18.75" hidden="1" customHeight="1">
      <c r="A143" s="1706"/>
      <c r="B143" s="1706"/>
      <c r="C143" s="306" t="s">
        <v>1191</v>
      </c>
      <c r="D143" s="3053"/>
      <c r="E143" s="2852"/>
      <c r="F143" s="2991"/>
      <c r="G143" s="3028"/>
      <c r="H143" s="1427"/>
      <c r="I143" s="588" t="s">
        <v>1190</v>
      </c>
      <c r="J143" s="508"/>
      <c r="K143" s="1427"/>
      <c r="L143" s="152"/>
      <c r="M143" s="279"/>
      <c r="N143" s="272"/>
      <c r="O143" s="1551"/>
      <c r="P143" s="1551"/>
      <c r="AH143" s="1558">
        <v>0</v>
      </c>
    </row>
    <row r="144" spans="1:34" s="1562" customFormat="1" ht="0.75" hidden="1" customHeight="1">
      <c r="A144" s="1706"/>
      <c r="B144" s="1706"/>
      <c r="C144" s="306" t="s">
        <v>1200</v>
      </c>
      <c r="D144" s="3053"/>
      <c r="E144" s="2852"/>
      <c r="F144" s="2991"/>
      <c r="G144" s="337"/>
      <c r="H144" s="1427"/>
      <c r="I144" s="588"/>
      <c r="J144" s="508"/>
      <c r="K144" s="1427"/>
      <c r="L144" s="152"/>
      <c r="M144" s="279"/>
      <c r="N144" s="272"/>
      <c r="O144" s="1551"/>
      <c r="P144" s="1551"/>
      <c r="AH144" s="1558">
        <v>0</v>
      </c>
    </row>
    <row r="145" spans="1:34" s="1562" customFormat="1" ht="18.75" hidden="1" customHeight="1">
      <c r="A145" s="1706" t="s">
        <v>275</v>
      </c>
      <c r="B145" s="1706" t="s">
        <v>276</v>
      </c>
      <c r="C145" s="306"/>
      <c r="D145" s="3053"/>
      <c r="E145" s="2852"/>
      <c r="F145" s="2991" t="str">
        <f>INDEX(PT_DIFFERENTIATION_VTAR,MATCH(A145,PT_DIFFERENTIATION_VTAR_ID,0))</f>
        <v>Тариф на техническую воду</v>
      </c>
      <c r="G145" s="3028" t="str">
        <f>INDEX(PT_DIFFERENTIATION_NTAR,MATCH(B145,PT_DIFFERENTIATION_NTAR_ID,0))</f>
        <v/>
      </c>
      <c r="H145" s="1787"/>
      <c r="I145" s="1665"/>
      <c r="J145" s="1699"/>
      <c r="K145" s="1704"/>
      <c r="L145" s="1787" t="s">
        <v>351</v>
      </c>
      <c r="M145" s="279"/>
      <c r="N145" s="272"/>
      <c r="O145" s="1551"/>
      <c r="P145" s="1551"/>
      <c r="AH145" s="1558">
        <v>0</v>
      </c>
    </row>
    <row r="146" spans="1:34" s="1562" customFormat="1" ht="18.75" hidden="1" customHeight="1">
      <c r="A146" s="1706"/>
      <c r="B146" s="1706"/>
      <c r="C146" s="306" t="s">
        <v>1191</v>
      </c>
      <c r="D146" s="3053"/>
      <c r="E146" s="2852"/>
      <c r="F146" s="2991"/>
      <c r="G146" s="3028"/>
      <c r="H146" s="1427"/>
      <c r="I146" s="588" t="s">
        <v>1190</v>
      </c>
      <c r="J146" s="508"/>
      <c r="K146" s="1427"/>
      <c r="L146" s="152"/>
      <c r="M146" s="279"/>
      <c r="N146" s="272"/>
      <c r="O146" s="1551"/>
      <c r="P146" s="1551"/>
      <c r="AH146" s="1558">
        <v>0</v>
      </c>
    </row>
    <row r="147" spans="1:34" s="1562" customFormat="1" ht="0.75" hidden="1" customHeight="1">
      <c r="A147" s="1706"/>
      <c r="B147" s="1706"/>
      <c r="C147" s="306" t="s">
        <v>1200</v>
      </c>
      <c r="D147" s="3053"/>
      <c r="E147" s="2852"/>
      <c r="F147" s="2991"/>
      <c r="G147" s="337"/>
      <c r="H147" s="1427"/>
      <c r="I147" s="588"/>
      <c r="J147" s="508"/>
      <c r="K147" s="1427"/>
      <c r="L147" s="152"/>
      <c r="M147" s="279"/>
      <c r="N147" s="272"/>
      <c r="O147" s="1551"/>
      <c r="P147" s="1551"/>
      <c r="AH147" s="1558">
        <v>0</v>
      </c>
    </row>
    <row r="148" spans="1:34" s="1562" customFormat="1" ht="18.75" hidden="1" customHeight="1">
      <c r="A148" s="1706" t="s">
        <v>280</v>
      </c>
      <c r="B148" s="1706" t="s">
        <v>281</v>
      </c>
      <c r="C148" s="306"/>
      <c r="D148" s="3053"/>
      <c r="E148" s="2852"/>
      <c r="F148" s="2991" t="str">
        <f>INDEX(PT_DIFFERENTIATION_VTAR,MATCH(A148,PT_DIFFERENTIATION_VTAR_ID,0))</f>
        <v>Тариф на транспортировку воды</v>
      </c>
      <c r="G148" s="3028" t="str">
        <f>INDEX(PT_DIFFERENTIATION_NTAR,MATCH(B148,PT_DIFFERENTIATION_NTAR_ID,0))</f>
        <v/>
      </c>
      <c r="H148" s="1787"/>
      <c r="I148" s="1665"/>
      <c r="J148" s="1699"/>
      <c r="K148" s="1704"/>
      <c r="L148" s="1787" t="s">
        <v>351</v>
      </c>
      <c r="M148" s="279"/>
      <c r="N148" s="272"/>
      <c r="O148" s="1551"/>
      <c r="P148" s="1551"/>
      <c r="AH148" s="1558">
        <v>0</v>
      </c>
    </row>
    <row r="149" spans="1:34" s="1562" customFormat="1" ht="18.75" hidden="1" customHeight="1">
      <c r="A149" s="1706"/>
      <c r="B149" s="1706"/>
      <c r="C149" s="306" t="s">
        <v>1191</v>
      </c>
      <c r="D149" s="3053"/>
      <c r="E149" s="2852"/>
      <c r="F149" s="2991"/>
      <c r="G149" s="3028"/>
      <c r="H149" s="1427"/>
      <c r="I149" s="588" t="s">
        <v>1190</v>
      </c>
      <c r="J149" s="508"/>
      <c r="K149" s="1427"/>
      <c r="L149" s="152"/>
      <c r="M149" s="279"/>
      <c r="N149" s="272"/>
      <c r="O149" s="1551"/>
      <c r="P149" s="1551"/>
      <c r="AH149" s="1558">
        <v>0</v>
      </c>
    </row>
    <row r="150" spans="1:34" s="1562" customFormat="1" ht="0.75" hidden="1" customHeight="1">
      <c r="A150" s="1706"/>
      <c r="B150" s="1706"/>
      <c r="C150" s="306" t="s">
        <v>1200</v>
      </c>
      <c r="D150" s="3053"/>
      <c r="E150" s="2852"/>
      <c r="F150" s="2991"/>
      <c r="G150" s="337"/>
      <c r="H150" s="1427"/>
      <c r="I150" s="588"/>
      <c r="J150" s="508"/>
      <c r="K150" s="1427"/>
      <c r="L150" s="152"/>
      <c r="M150" s="279"/>
      <c r="N150" s="272"/>
      <c r="O150" s="1551"/>
      <c r="P150" s="1551"/>
      <c r="AH150" s="1558">
        <v>0</v>
      </c>
    </row>
    <row r="151" spans="1:34" s="1562" customFormat="1" ht="18.75" hidden="1" customHeight="1">
      <c r="A151" s="1706" t="s">
        <v>285</v>
      </c>
      <c r="B151" s="1706" t="s">
        <v>286</v>
      </c>
      <c r="C151" s="306"/>
      <c r="D151" s="3053"/>
      <c r="E151" s="2852"/>
      <c r="F151" s="2991" t="str">
        <f>INDEX(PT_DIFFERENTIATION_VTAR,MATCH(A151,PT_DIFFERENTIATION_VTAR_ID,0))</f>
        <v>Тариф на подвоз воды</v>
      </c>
      <c r="G151" s="3028" t="str">
        <f>INDEX(PT_DIFFERENTIATION_NTAR,MATCH(B151,PT_DIFFERENTIATION_NTAR_ID,0))</f>
        <v/>
      </c>
      <c r="H151" s="1787"/>
      <c r="I151" s="1665"/>
      <c r="J151" s="1699"/>
      <c r="K151" s="1704"/>
      <c r="L151" s="1787" t="s">
        <v>351</v>
      </c>
      <c r="M151" s="279"/>
      <c r="N151" s="272"/>
      <c r="O151" s="1551"/>
      <c r="P151" s="1551"/>
      <c r="AH151" s="1558">
        <v>0</v>
      </c>
    </row>
    <row r="152" spans="1:34" s="1562" customFormat="1" ht="18.75" hidden="1" customHeight="1">
      <c r="A152" s="1706"/>
      <c r="B152" s="1706"/>
      <c r="C152" s="306" t="s">
        <v>1191</v>
      </c>
      <c r="D152" s="3053"/>
      <c r="E152" s="2852"/>
      <c r="F152" s="2991"/>
      <c r="G152" s="3028"/>
      <c r="H152" s="1427"/>
      <c r="I152" s="588" t="s">
        <v>1190</v>
      </c>
      <c r="J152" s="508"/>
      <c r="K152" s="1427"/>
      <c r="L152" s="152"/>
      <c r="M152" s="279"/>
      <c r="N152" s="272"/>
      <c r="O152" s="1551"/>
      <c r="P152" s="1551"/>
      <c r="AH152" s="1558">
        <v>0</v>
      </c>
    </row>
    <row r="153" spans="1:34" s="1562" customFormat="1" ht="0.75" hidden="1" customHeight="1">
      <c r="A153" s="1706"/>
      <c r="B153" s="1706"/>
      <c r="C153" s="306" t="s">
        <v>1200</v>
      </c>
      <c r="D153" s="3053"/>
      <c r="E153" s="2852"/>
      <c r="F153" s="2991"/>
      <c r="G153" s="337"/>
      <c r="H153" s="1427"/>
      <c r="I153" s="588"/>
      <c r="J153" s="508"/>
      <c r="K153" s="1427"/>
      <c r="L153" s="152"/>
      <c r="M153" s="279"/>
      <c r="N153" s="272"/>
      <c r="O153" s="1551"/>
      <c r="P153" s="1551"/>
      <c r="AH153" s="1558">
        <v>0</v>
      </c>
    </row>
    <row r="154" spans="1:34" s="1562" customFormat="1" ht="18.75" hidden="1" customHeight="1">
      <c r="A154" s="1706" t="s">
        <v>290</v>
      </c>
      <c r="B154" s="1706" t="s">
        <v>291</v>
      </c>
      <c r="C154" s="306"/>
      <c r="D154" s="3053"/>
      <c r="E154" s="2852"/>
      <c r="F154" s="2991" t="str">
        <f>INDEX(PT_DIFFERENTIATION_VTAR,MATCH(A154,PT_DIFFERENTIATION_VTAR_ID,0))</f>
        <v>Тариф на подключение (технологическое присоединение) к централизованной системе холодного водоснабжения</v>
      </c>
      <c r="G154" s="3028" t="str">
        <f>INDEX(PT_DIFFERENTIATION_NTAR,MATCH(B154,PT_DIFFERENTIATION_NTAR_ID,0))</f>
        <v/>
      </c>
      <c r="H154" s="1787"/>
      <c r="I154" s="1665"/>
      <c r="J154" s="1699"/>
      <c r="K154" s="1704"/>
      <c r="L154" s="1787" t="s">
        <v>351</v>
      </c>
      <c r="M154" s="279"/>
      <c r="N154" s="272"/>
      <c r="O154" s="1551"/>
      <c r="P154" s="1551"/>
      <c r="AH154" s="1558">
        <v>0</v>
      </c>
    </row>
    <row r="155" spans="1:34" s="1562" customFormat="1" ht="18.75" hidden="1" customHeight="1">
      <c r="A155" s="1706"/>
      <c r="B155" s="1706"/>
      <c r="C155" s="306" t="s">
        <v>1191</v>
      </c>
      <c r="D155" s="3053"/>
      <c r="E155" s="2852"/>
      <c r="F155" s="2991"/>
      <c r="G155" s="3028"/>
      <c r="H155" s="1427"/>
      <c r="I155" s="588" t="s">
        <v>1190</v>
      </c>
      <c r="J155" s="508"/>
      <c r="K155" s="1427"/>
      <c r="L155" s="152"/>
      <c r="M155" s="279"/>
      <c r="N155" s="272"/>
      <c r="O155" s="1551"/>
      <c r="P155" s="1551"/>
      <c r="AH155" s="1558">
        <v>0</v>
      </c>
    </row>
    <row r="156" spans="1:34" s="1562" customFormat="1" ht="0.75" hidden="1" customHeight="1">
      <c r="A156" s="1706"/>
      <c r="B156" s="1706"/>
      <c r="C156" s="306" t="s">
        <v>1200</v>
      </c>
      <c r="D156" s="3053"/>
      <c r="E156" s="2852"/>
      <c r="F156" s="2991"/>
      <c r="G156" s="337"/>
      <c r="H156" s="1427"/>
      <c r="I156" s="588"/>
      <c r="J156" s="508"/>
      <c r="K156" s="1427"/>
      <c r="L156" s="152"/>
      <c r="M156" s="279"/>
      <c r="N156" s="272"/>
      <c r="O156" s="1551"/>
      <c r="P156" s="1551"/>
      <c r="AH156" s="1558">
        <v>0</v>
      </c>
    </row>
    <row r="157" spans="1:34" s="1562" customFormat="1" ht="18.75" hidden="1" customHeight="1">
      <c r="A157" s="1706" t="s">
        <v>295</v>
      </c>
      <c r="B157" s="1706" t="s">
        <v>296</v>
      </c>
      <c r="C157" s="306"/>
      <c r="D157" s="3053"/>
      <c r="E157" s="2852"/>
      <c r="F157" s="2991" t="str">
        <f>INDEX(PT_DIFFERENTIATION_VTAR,MATCH(A157,PT_DIFFERENTIATION_VTAR_ID,0))</f>
        <v>Тариф на горячую воду (горячее водоснабжение)</v>
      </c>
      <c r="G157" s="3028" t="str">
        <f>INDEX(PT_DIFFERENTIATION_NTAR,MATCH(B157,PT_DIFFERENTIATION_NTAR_ID,0))</f>
        <v/>
      </c>
      <c r="H157" s="1787"/>
      <c r="I157" s="1665"/>
      <c r="J157" s="1699"/>
      <c r="K157" s="1704"/>
      <c r="L157" s="1787" t="s">
        <v>351</v>
      </c>
      <c r="M157" s="279"/>
      <c r="N157" s="272"/>
      <c r="O157" s="1551"/>
      <c r="P157" s="1551"/>
      <c r="AH157" s="1558">
        <v>0</v>
      </c>
    </row>
    <row r="158" spans="1:34" s="1562" customFormat="1" ht="18.75" hidden="1" customHeight="1">
      <c r="A158" s="1706"/>
      <c r="B158" s="1706"/>
      <c r="C158" s="306" t="s">
        <v>1191</v>
      </c>
      <c r="D158" s="3053"/>
      <c r="E158" s="2852"/>
      <c r="F158" s="2991"/>
      <c r="G158" s="3028"/>
      <c r="H158" s="1427"/>
      <c r="I158" s="588" t="s">
        <v>1190</v>
      </c>
      <c r="J158" s="508"/>
      <c r="K158" s="1427"/>
      <c r="L158" s="152"/>
      <c r="M158" s="279"/>
      <c r="N158" s="272"/>
      <c r="O158" s="1551"/>
      <c r="P158" s="1551"/>
      <c r="AH158" s="1558">
        <v>0</v>
      </c>
    </row>
    <row r="159" spans="1:34" s="1562" customFormat="1" ht="0.75" hidden="1" customHeight="1">
      <c r="A159" s="1706"/>
      <c r="B159" s="1706"/>
      <c r="C159" s="306" t="s">
        <v>1200</v>
      </c>
      <c r="D159" s="3053"/>
      <c r="E159" s="2852"/>
      <c r="F159" s="2991"/>
      <c r="G159" s="337"/>
      <c r="H159" s="1427"/>
      <c r="I159" s="588"/>
      <c r="J159" s="508"/>
      <c r="K159" s="1427"/>
      <c r="L159" s="152"/>
      <c r="M159" s="279"/>
      <c r="N159" s="272"/>
      <c r="O159" s="1551"/>
      <c r="P159" s="1551"/>
      <c r="AH159" s="1558">
        <v>0</v>
      </c>
    </row>
    <row r="160" spans="1:34" s="1562" customFormat="1" ht="18.75" hidden="1" customHeight="1">
      <c r="A160" s="1706" t="s">
        <v>300</v>
      </c>
      <c r="B160" s="1706" t="s">
        <v>301</v>
      </c>
      <c r="C160" s="306"/>
      <c r="D160" s="3053"/>
      <c r="E160" s="2852"/>
      <c r="F160" s="2991" t="str">
        <f>INDEX(PT_DIFFERENTIATION_VTAR,MATCH(A160,PT_DIFFERENTIATION_VTAR_ID,0))</f>
        <v>Тариф на транспортировку горячей воды</v>
      </c>
      <c r="G160" s="3028" t="str">
        <f>INDEX(PT_DIFFERENTIATION_NTAR,MATCH(B160,PT_DIFFERENTIATION_NTAR_ID,0))</f>
        <v/>
      </c>
      <c r="H160" s="1787"/>
      <c r="I160" s="1665"/>
      <c r="J160" s="1699"/>
      <c r="K160" s="1704"/>
      <c r="L160" s="1787" t="s">
        <v>351</v>
      </c>
      <c r="M160" s="279"/>
      <c r="N160" s="272"/>
      <c r="O160" s="1551"/>
      <c r="P160" s="1551"/>
      <c r="AH160" s="1558">
        <v>0</v>
      </c>
    </row>
    <row r="161" spans="1:34" s="1562" customFormat="1" ht="18.75" hidden="1" customHeight="1">
      <c r="A161" s="1706"/>
      <c r="B161" s="1706"/>
      <c r="C161" s="306" t="s">
        <v>1191</v>
      </c>
      <c r="D161" s="3053"/>
      <c r="E161" s="2852"/>
      <c r="F161" s="2991"/>
      <c r="G161" s="3028"/>
      <c r="H161" s="1427"/>
      <c r="I161" s="588" t="s">
        <v>1190</v>
      </c>
      <c r="J161" s="508"/>
      <c r="K161" s="1427"/>
      <c r="L161" s="152"/>
      <c r="M161" s="279"/>
      <c r="N161" s="272"/>
      <c r="O161" s="1551"/>
      <c r="P161" s="1551"/>
      <c r="AH161" s="1558">
        <v>0</v>
      </c>
    </row>
    <row r="162" spans="1:34" s="1562" customFormat="1" ht="0.75" hidden="1" customHeight="1">
      <c r="A162" s="1706"/>
      <c r="B162" s="1706"/>
      <c r="C162" s="306" t="s">
        <v>1200</v>
      </c>
      <c r="D162" s="3053"/>
      <c r="E162" s="2852"/>
      <c r="F162" s="2991"/>
      <c r="G162" s="337"/>
      <c r="H162" s="1427"/>
      <c r="I162" s="588"/>
      <c r="J162" s="508"/>
      <c r="K162" s="1427"/>
      <c r="L162" s="152"/>
      <c r="M162" s="279"/>
      <c r="N162" s="272"/>
      <c r="O162" s="1551"/>
      <c r="P162" s="1551"/>
      <c r="AH162" s="1558">
        <v>0</v>
      </c>
    </row>
    <row r="163" spans="1:34" s="1562" customFormat="1" ht="18.75" hidden="1" customHeight="1">
      <c r="A163" s="1706" t="s">
        <v>305</v>
      </c>
      <c r="B163" s="1706" t="s">
        <v>306</v>
      </c>
      <c r="C163" s="306"/>
      <c r="D163" s="3053"/>
      <c r="E163" s="2852"/>
      <c r="F163" s="2991" t="str">
        <f>INDEX(PT_DIFFERENTIATION_VTAR,MATCH(A163,PT_DIFFERENTIATION_VTAR_ID,0))</f>
        <v>Тариф на подключение (технологическое присоединение) к централизованной системе горячего водоснабжения</v>
      </c>
      <c r="G163" s="3028" t="str">
        <f>INDEX(PT_DIFFERENTIATION_NTAR,MATCH(B163,PT_DIFFERENTIATION_NTAR_ID,0))</f>
        <v/>
      </c>
      <c r="H163" s="1787"/>
      <c r="I163" s="1665"/>
      <c r="J163" s="1699"/>
      <c r="K163" s="1704"/>
      <c r="L163" s="1787" t="s">
        <v>351</v>
      </c>
      <c r="M163" s="279"/>
      <c r="N163" s="272"/>
      <c r="O163" s="1551"/>
      <c r="P163" s="1551"/>
      <c r="AH163" s="1558">
        <v>0</v>
      </c>
    </row>
    <row r="164" spans="1:34" s="1562" customFormat="1" ht="18.75" hidden="1" customHeight="1">
      <c r="A164" s="1706"/>
      <c r="B164" s="1706"/>
      <c r="C164" s="306" t="s">
        <v>1191</v>
      </c>
      <c r="D164" s="3053"/>
      <c r="E164" s="2852"/>
      <c r="F164" s="2991"/>
      <c r="G164" s="3028"/>
      <c r="H164" s="1427"/>
      <c r="I164" s="588" t="s">
        <v>1190</v>
      </c>
      <c r="J164" s="508"/>
      <c r="K164" s="1427"/>
      <c r="L164" s="152"/>
      <c r="M164" s="279"/>
      <c r="N164" s="272"/>
      <c r="O164" s="1551"/>
      <c r="P164" s="1551"/>
      <c r="AH164" s="1558">
        <v>0</v>
      </c>
    </row>
    <row r="165" spans="1:34" s="1562" customFormat="1" ht="0.75" hidden="1" customHeight="1">
      <c r="A165" s="1706"/>
      <c r="B165" s="1706"/>
      <c r="C165" s="306" t="s">
        <v>1200</v>
      </c>
      <c r="D165" s="3053"/>
      <c r="E165" s="2852"/>
      <c r="F165" s="2991"/>
      <c r="G165" s="337"/>
      <c r="H165" s="1427"/>
      <c r="I165" s="588"/>
      <c r="J165" s="508"/>
      <c r="K165" s="1427"/>
      <c r="L165" s="152"/>
      <c r="M165" s="279"/>
      <c r="N165" s="272"/>
      <c r="O165" s="1551"/>
      <c r="P165" s="1551"/>
      <c r="AH165" s="1558">
        <v>0</v>
      </c>
    </row>
    <row r="166" spans="1:34" s="1562" customFormat="1" ht="18.75" hidden="1" customHeight="1">
      <c r="A166" s="1706" t="s">
        <v>310</v>
      </c>
      <c r="B166" s="1706" t="s">
        <v>311</v>
      </c>
      <c r="C166" s="306"/>
      <c r="D166" s="3053"/>
      <c r="E166" s="2852"/>
      <c r="F166" s="2991" t="str">
        <f>INDEX(PT_DIFFERENTIATION_VTAR,MATCH(A166,PT_DIFFERENTIATION_VTAR_ID,0))</f>
        <v>Тариф на водоотведение</v>
      </c>
      <c r="G166" s="3028" t="str">
        <f>INDEX(PT_DIFFERENTIATION_NTAR,MATCH(B166,PT_DIFFERENTIATION_NTAR_ID,0))</f>
        <v/>
      </c>
      <c r="H166" s="1787"/>
      <c r="I166" s="1665"/>
      <c r="J166" s="1699"/>
      <c r="K166" s="1704"/>
      <c r="L166" s="1787" t="s">
        <v>351</v>
      </c>
      <c r="M166" s="279"/>
      <c r="N166" s="272"/>
      <c r="O166" s="1551"/>
      <c r="P166" s="1551"/>
      <c r="AH166" s="1558">
        <v>0</v>
      </c>
    </row>
    <row r="167" spans="1:34" s="1562" customFormat="1" ht="18.75" hidden="1" customHeight="1">
      <c r="A167" s="1706"/>
      <c r="B167" s="1706"/>
      <c r="C167" s="306" t="s">
        <v>1191</v>
      </c>
      <c r="D167" s="3053"/>
      <c r="E167" s="2852"/>
      <c r="F167" s="2991"/>
      <c r="G167" s="3028"/>
      <c r="H167" s="1427"/>
      <c r="I167" s="588" t="s">
        <v>1190</v>
      </c>
      <c r="J167" s="508"/>
      <c r="K167" s="1427"/>
      <c r="L167" s="152"/>
      <c r="M167" s="279"/>
      <c r="N167" s="272"/>
      <c r="O167" s="1551"/>
      <c r="P167" s="1551"/>
      <c r="AH167" s="1558">
        <v>0</v>
      </c>
    </row>
    <row r="168" spans="1:34" s="1562" customFormat="1" ht="0.75" hidden="1" customHeight="1">
      <c r="A168" s="1706"/>
      <c r="B168" s="1706"/>
      <c r="C168" s="306" t="s">
        <v>1200</v>
      </c>
      <c r="D168" s="3053"/>
      <c r="E168" s="2852"/>
      <c r="F168" s="2991"/>
      <c r="G168" s="337"/>
      <c r="H168" s="1427"/>
      <c r="I168" s="588"/>
      <c r="J168" s="508"/>
      <c r="K168" s="1427"/>
      <c r="L168" s="152"/>
      <c r="M168" s="279"/>
      <c r="N168" s="272"/>
      <c r="O168" s="1551"/>
      <c r="P168" s="1551"/>
      <c r="AH168" s="1558">
        <v>0</v>
      </c>
    </row>
    <row r="169" spans="1:34" s="1562" customFormat="1" ht="18.75" hidden="1" customHeight="1">
      <c r="A169" s="1706" t="s">
        <v>315</v>
      </c>
      <c r="B169" s="1706" t="s">
        <v>316</v>
      </c>
      <c r="C169" s="306"/>
      <c r="D169" s="3053"/>
      <c r="E169" s="2852"/>
      <c r="F169" s="2991" t="str">
        <f>INDEX(PT_DIFFERENTIATION_VTAR,MATCH(A169,PT_DIFFERENTIATION_VTAR_ID,0))</f>
        <v>Тариф на транспортировку сточных вод</v>
      </c>
      <c r="G169" s="3028" t="str">
        <f>INDEX(PT_DIFFERENTIATION_NTAR,MATCH(B169,PT_DIFFERENTIATION_NTAR_ID,0))</f>
        <v/>
      </c>
      <c r="H169" s="1787"/>
      <c r="I169" s="1665"/>
      <c r="J169" s="1699"/>
      <c r="K169" s="1704"/>
      <c r="L169" s="1787" t="s">
        <v>351</v>
      </c>
      <c r="M169" s="279"/>
      <c r="N169" s="272"/>
      <c r="O169" s="1551"/>
      <c r="P169" s="1551"/>
      <c r="AH169" s="1558">
        <v>0</v>
      </c>
    </row>
    <row r="170" spans="1:34" s="1562" customFormat="1" ht="18.75" hidden="1" customHeight="1">
      <c r="A170" s="1706"/>
      <c r="B170" s="1706"/>
      <c r="C170" s="306" t="s">
        <v>1191</v>
      </c>
      <c r="D170" s="3053"/>
      <c r="E170" s="2852"/>
      <c r="F170" s="2991"/>
      <c r="G170" s="3028"/>
      <c r="H170" s="1427"/>
      <c r="I170" s="588" t="s">
        <v>1190</v>
      </c>
      <c r="J170" s="508"/>
      <c r="K170" s="1427"/>
      <c r="L170" s="152"/>
      <c r="M170" s="279"/>
      <c r="N170" s="272"/>
      <c r="O170" s="1551"/>
      <c r="P170" s="1551"/>
      <c r="AH170" s="1558">
        <v>0</v>
      </c>
    </row>
    <row r="171" spans="1:34" s="1562" customFormat="1" ht="0.75" hidden="1" customHeight="1">
      <c r="A171" s="1706"/>
      <c r="B171" s="1706"/>
      <c r="C171" s="306" t="s">
        <v>1200</v>
      </c>
      <c r="D171" s="3053"/>
      <c r="E171" s="2852"/>
      <c r="F171" s="2991"/>
      <c r="G171" s="337"/>
      <c r="H171" s="1427"/>
      <c r="I171" s="588"/>
      <c r="J171" s="508"/>
      <c r="K171" s="1427"/>
      <c r="L171" s="152"/>
      <c r="M171" s="279"/>
      <c r="N171" s="272"/>
      <c r="O171" s="1551"/>
      <c r="P171" s="1551"/>
      <c r="AH171" s="1558">
        <v>0</v>
      </c>
    </row>
    <row r="172" spans="1:34" s="1562" customFormat="1" ht="18.75" hidden="1" customHeight="1">
      <c r="A172" s="1706" t="s">
        <v>320</v>
      </c>
      <c r="B172" s="1706" t="s">
        <v>321</v>
      </c>
      <c r="C172" s="306"/>
      <c r="D172" s="3053"/>
      <c r="E172" s="2852"/>
      <c r="F172" s="2991" t="str">
        <f>INDEX(PT_DIFFERENTIATION_VTAR,MATCH(A172,PT_DIFFERENTIATION_VTAR_ID,0))</f>
        <v>Тариф на подключение (технологическое присоединение) к централизованной системе водоотведения</v>
      </c>
      <c r="G172" s="3028" t="str">
        <f>INDEX(PT_DIFFERENTIATION_NTAR,MATCH(B172,PT_DIFFERENTIATION_NTAR_ID,0))</f>
        <v/>
      </c>
      <c r="H172" s="1787"/>
      <c r="I172" s="1665"/>
      <c r="J172" s="1699"/>
      <c r="K172" s="1704"/>
      <c r="L172" s="1787" t="s">
        <v>351</v>
      </c>
      <c r="M172" s="279"/>
      <c r="N172" s="272"/>
      <c r="O172" s="1551"/>
      <c r="P172" s="1551"/>
      <c r="AH172" s="1558">
        <v>0</v>
      </c>
    </row>
    <row r="173" spans="1:34" s="1562" customFormat="1" ht="18.75" hidden="1" customHeight="1">
      <c r="A173" s="1706"/>
      <c r="B173" s="1706"/>
      <c r="C173" s="306" t="s">
        <v>1191</v>
      </c>
      <c r="D173" s="3053"/>
      <c r="E173" s="2852"/>
      <c r="F173" s="2991"/>
      <c r="G173" s="3028"/>
      <c r="H173" s="1427"/>
      <c r="I173" s="588" t="s">
        <v>1190</v>
      </c>
      <c r="J173" s="508"/>
      <c r="K173" s="1427"/>
      <c r="L173" s="152"/>
      <c r="M173" s="279"/>
      <c r="N173" s="272"/>
      <c r="O173" s="1551"/>
      <c r="P173" s="1551"/>
      <c r="AH173" s="1558">
        <v>0</v>
      </c>
    </row>
    <row r="174" spans="1:34" s="1562" customFormat="1" ht="0.75" customHeight="1">
      <c r="A174" s="1706"/>
      <c r="B174" s="1706"/>
      <c r="C174" s="306" t="s">
        <v>1200</v>
      </c>
      <c r="D174" s="3053"/>
      <c r="E174" s="2852"/>
      <c r="F174" s="2991"/>
      <c r="G174" s="337"/>
      <c r="H174" s="1427"/>
      <c r="I174" s="588"/>
      <c r="J174" s="508"/>
      <c r="K174" s="1427"/>
      <c r="L174" s="152"/>
      <c r="M174" s="279"/>
      <c r="N174" s="272"/>
      <c r="O174" s="1551"/>
      <c r="P174" s="1551"/>
      <c r="AH174" s="1558">
        <v>1</v>
      </c>
    </row>
    <row r="175" spans="1:34" ht="20.25" customHeight="1">
      <c r="A175" s="1706"/>
      <c r="B175" s="1706"/>
      <c r="D175" s="313"/>
      <c r="E175" s="85" t="s">
        <v>96</v>
      </c>
      <c r="F175" s="3052" t="str">
        <f>"Годовой объем "&amp;IF(TEMPLATE_SPHERE="HEAT","полезного отпуска тепловой энергии (теплоносителя)",IF(TEMPLATE_SPHERE="VOTV","принятых сточных вод","отпущенной "&amp;IF(TEMPLATE_SPHERE="COLDVSNA","потребителям воды","в сеть горячей воды")))</f>
        <v>Годовой объем полезного отпуска тепловой энергии (теплоносителя)</v>
      </c>
      <c r="G175" s="3052"/>
      <c r="H175" s="3052"/>
      <c r="I175" s="3052"/>
      <c r="J175" s="3052"/>
      <c r="K175" s="3052"/>
      <c r="L175" s="3052"/>
      <c r="M175" s="235"/>
      <c r="N175" s="272"/>
      <c r="AH175" s="311">
        <v>19</v>
      </c>
    </row>
    <row r="176" spans="1:34" s="1562" customFormat="1" ht="60.75" hidden="1" customHeight="1">
      <c r="A176" s="1706" t="s">
        <v>160</v>
      </c>
      <c r="B176" s="1706" t="s">
        <v>161</v>
      </c>
      <c r="C176" s="306"/>
      <c r="D176" s="3053"/>
      <c r="E176" s="2852"/>
      <c r="F176" s="2991" t="str">
        <f>INDEX(PT_DIFFERENTIATION_VTAR,MATCH(A176,PT_DIFFERENTIATION_VTAR_ID,0))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176" s="3028" t="str">
        <f>INDEX(PT_DIFFERENTIATION_NTAR,MATCH(B176,PT_DIFFERENTIATION_NTAR_ID,0))</f>
        <v/>
      </c>
      <c r="H176" s="1787"/>
      <c r="I176" s="1665"/>
      <c r="J176" s="1699"/>
      <c r="K176" s="1704"/>
      <c r="L176" s="1787" t="s">
        <v>351</v>
      </c>
      <c r="M176" s="28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годового объема "&amp;IF(TEMPLATE_SPHERE="HEAT","полезного отпуска тепловой энергии (теплоносителя)","отпущенной потребителям воды")&amp;" указывается в колонке «Информация» в тыс. "&amp;IF(TEMPLATE_SPHERE="HEAT","Гкал","куб. м.")&amp;"
В случае дифференциации "&amp;IF(TEMPLATE_SPHERE="HEAT","полезного отпуска тепловой энергии (теплоносителя)","отпущенной потребителям воды")&amp;" по видам тарифов и (или)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годового объема полезного отпуска тепловой энергии (теплоносителя) указывается в колонке «Информация» в тыс. Гкал
В случае дифференциации полезного отпуска тепловой энергии (теплоносителя) по видам тарифов и (или) по срокам действия тарифов информация указывается в отдельных строках.</v>
      </c>
      <c r="N176" s="272"/>
      <c r="O176" s="1551"/>
      <c r="P176" s="1551"/>
      <c r="AH176" s="1558">
        <v>0</v>
      </c>
    </row>
    <row r="177" spans="1:34" s="1562" customFormat="1" ht="18.75" hidden="1" customHeight="1">
      <c r="A177" s="1706"/>
      <c r="B177" s="1706"/>
      <c r="C177" s="306" t="s">
        <v>1191</v>
      </c>
      <c r="D177" s="3053"/>
      <c r="E177" s="2852"/>
      <c r="F177" s="2991"/>
      <c r="G177" s="3028"/>
      <c r="H177" s="1427"/>
      <c r="I177" s="588" t="s">
        <v>1190</v>
      </c>
      <c r="J177" s="508"/>
      <c r="K177" s="1427"/>
      <c r="L177" s="152"/>
      <c r="M177" s="2803"/>
      <c r="N177" s="272"/>
      <c r="O177" s="1551"/>
      <c r="P177" s="1551"/>
      <c r="AH177" s="1558">
        <v>0</v>
      </c>
    </row>
    <row r="178" spans="1:34" s="1562" customFormat="1" ht="0.75" hidden="1" customHeight="1">
      <c r="A178" s="1706"/>
      <c r="B178" s="1706"/>
      <c r="C178" s="306" t="s">
        <v>1200</v>
      </c>
      <c r="D178" s="3053"/>
      <c r="E178" s="2852"/>
      <c r="F178" s="2991"/>
      <c r="G178" s="337"/>
      <c r="H178" s="1427"/>
      <c r="I178" s="588"/>
      <c r="J178" s="508"/>
      <c r="K178" s="1427"/>
      <c r="L178" s="152"/>
      <c r="M178" s="2803"/>
      <c r="N178" s="272"/>
      <c r="O178" s="1551"/>
      <c r="P178" s="1551"/>
      <c r="AH178" s="1558">
        <v>0</v>
      </c>
    </row>
    <row r="179" spans="1:34" s="1562" customFormat="1" ht="23.25" customHeight="1">
      <c r="A179" s="1706" t="s">
        <v>168</v>
      </c>
      <c r="B179" s="1706" t="s">
        <v>169</v>
      </c>
      <c r="C179" s="306"/>
      <c r="D179" s="3053"/>
      <c r="E179" s="2852"/>
      <c r="F179" s="2991" t="str">
        <f>INDEX(PT_DIFFERENTIATION_VTAR,MATCH(A179,PT_DIFFERENTIATION_VTAR_ID,0))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179" s="3028" t="str">
        <f>INDEX(PT_DIFFERENTIATION_NTAR,MATCH(B179,PT_DIFFERENTIATION_NTAR_ID,0))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H179" s="1787"/>
      <c r="I179" s="1665" t="s">
        <v>22</v>
      </c>
      <c r="J179" s="1699" t="s">
        <v>26</v>
      </c>
      <c r="K179" s="1704">
        <v>7.0844139999999998</v>
      </c>
      <c r="L179" s="1787" t="s">
        <v>351</v>
      </c>
      <c r="M179" s="2804"/>
      <c r="N179" s="272"/>
      <c r="O179" s="1551"/>
      <c r="P179" s="1551"/>
      <c r="AH179" s="1558">
        <v>0</v>
      </c>
    </row>
    <row r="180" spans="1:34" s="1562" customFormat="1" ht="42.75" customHeight="1">
      <c r="A180" s="1706"/>
      <c r="B180" s="1706"/>
      <c r="C180" s="306" t="s">
        <v>1191</v>
      </c>
      <c r="D180" s="3053"/>
      <c r="E180" s="2852"/>
      <c r="F180" s="2991"/>
      <c r="G180" s="3028"/>
      <c r="H180" s="1427"/>
      <c r="I180" s="588" t="s">
        <v>1190</v>
      </c>
      <c r="J180" s="508"/>
      <c r="K180" s="1427"/>
      <c r="L180" s="152"/>
      <c r="M180" s="1786"/>
      <c r="N180" s="272"/>
      <c r="O180" s="1551"/>
      <c r="P180" s="1551"/>
      <c r="AH180" s="1558">
        <v>0</v>
      </c>
    </row>
    <row r="181" spans="1:34" s="1562" customFormat="1" ht="18.75" customHeight="1">
      <c r="A181" s="1748" t="s">
        <v>168</v>
      </c>
      <c r="B181" s="1748" t="s">
        <v>180</v>
      </c>
      <c r="C181" s="1614"/>
      <c r="D181" s="3054"/>
      <c r="E181" s="3055"/>
      <c r="F181" s="3055"/>
      <c r="G181" s="3028" t="str">
        <f>INDEX(PT_DIFFERENTIATION_NTAR,MATCH(B181,PT_DIFFERENTIATION_NTAR_ID,0))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H181" s="2002"/>
      <c r="I181" s="1665" t="s">
        <v>22</v>
      </c>
      <c r="J181" s="1699" t="s">
        <v>26</v>
      </c>
      <c r="K181" s="1704">
        <v>1.148185</v>
      </c>
      <c r="L181" s="2002" t="s">
        <v>351</v>
      </c>
      <c r="M181" s="2005"/>
      <c r="N181" s="555"/>
      <c r="O181" s="1551"/>
      <c r="P181" s="1551"/>
      <c r="AH181" s="1562">
        <v>0</v>
      </c>
    </row>
    <row r="182" spans="1:34" s="1562" customFormat="1" ht="41.25" customHeight="1">
      <c r="A182" s="1748"/>
      <c r="B182" s="1748"/>
      <c r="C182" s="1614" t="s">
        <v>1191</v>
      </c>
      <c r="D182" s="3054"/>
      <c r="E182" s="3055"/>
      <c r="F182" s="3055"/>
      <c r="G182" s="3028"/>
      <c r="H182" s="2617"/>
      <c r="I182" s="2618" t="s">
        <v>1190</v>
      </c>
      <c r="J182" s="2619"/>
      <c r="K182" s="2620"/>
      <c r="L182" s="2621"/>
      <c r="M182" s="2005"/>
      <c r="N182" s="555"/>
      <c r="O182" s="1551"/>
      <c r="P182" s="1551"/>
      <c r="AH182" s="1562">
        <v>0</v>
      </c>
    </row>
    <row r="183" spans="1:34" s="1562" customFormat="1" ht="18.75" customHeight="1">
      <c r="A183" s="1748" t="s">
        <v>168</v>
      </c>
      <c r="B183" s="1748" t="s">
        <v>184</v>
      </c>
      <c r="C183" s="1614"/>
      <c r="D183" s="3054"/>
      <c r="E183" s="3055"/>
      <c r="F183" s="3055"/>
      <c r="G183" s="3028" t="str">
        <f>INDEX(PT_DIFFERENTIATION_NTAR,MATCH(B183,PT_DIFFERENTIATION_NTAR_ID,0))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H183" s="2002"/>
      <c r="I183" s="1665" t="s">
        <v>22</v>
      </c>
      <c r="J183" s="1699" t="s">
        <v>26</v>
      </c>
      <c r="K183" s="1704">
        <v>1.0056579999999999</v>
      </c>
      <c r="L183" s="2002" t="s">
        <v>351</v>
      </c>
      <c r="M183" s="2005"/>
      <c r="N183" s="555"/>
      <c r="O183" s="1551"/>
      <c r="P183" s="1551"/>
      <c r="AH183" s="1562">
        <v>0</v>
      </c>
    </row>
    <row r="184" spans="1:34" s="1562" customFormat="1" ht="45" customHeight="1">
      <c r="A184" s="1748"/>
      <c r="B184" s="1748"/>
      <c r="C184" s="1614" t="s">
        <v>1191</v>
      </c>
      <c r="D184" s="3054"/>
      <c r="E184" s="3055"/>
      <c r="F184" s="3055"/>
      <c r="G184" s="3028"/>
      <c r="H184" s="2622"/>
      <c r="I184" s="2623" t="s">
        <v>1190</v>
      </c>
      <c r="J184" s="2624"/>
      <c r="K184" s="2625"/>
      <c r="L184" s="2626"/>
      <c r="M184" s="2005"/>
      <c r="N184" s="555"/>
      <c r="O184" s="1551"/>
      <c r="P184" s="1551"/>
      <c r="AH184" s="1562">
        <v>0</v>
      </c>
    </row>
    <row r="185" spans="1:34" s="1562" customFormat="1" ht="18.75" customHeight="1">
      <c r="A185" s="1748" t="s">
        <v>168</v>
      </c>
      <c r="B185" s="1748" t="s">
        <v>188</v>
      </c>
      <c r="C185" s="1614"/>
      <c r="D185" s="3054"/>
      <c r="E185" s="3055"/>
      <c r="F185" s="3055"/>
      <c r="G185" s="3028" t="str">
        <f>INDEX(PT_DIFFERENTIATION_NTAR,MATCH(B185,PT_DIFFERENTIATION_NTAR_ID,0))</f>
        <v>Тарифы на тепловую энергию, поставляемую потребителям г. Тюмени от котельной, расположенной по адресу: г.Тюмень, ул. Луначарского, 18, строение 1 (Котельная № 7)</v>
      </c>
      <c r="H185" s="2002"/>
      <c r="I185" s="1665" t="s">
        <v>22</v>
      </c>
      <c r="J185" s="1699" t="s">
        <v>26</v>
      </c>
      <c r="K185" s="1704">
        <v>1.250092</v>
      </c>
      <c r="L185" s="2002" t="s">
        <v>351</v>
      </c>
      <c r="M185" s="2005"/>
      <c r="N185" s="555"/>
      <c r="O185" s="1551"/>
      <c r="P185" s="1551"/>
      <c r="AH185" s="1562">
        <v>0</v>
      </c>
    </row>
    <row r="186" spans="1:34" s="1562" customFormat="1" ht="42" customHeight="1">
      <c r="A186" s="1748"/>
      <c r="B186" s="1748"/>
      <c r="C186" s="1614" t="s">
        <v>1191</v>
      </c>
      <c r="D186" s="3054"/>
      <c r="E186" s="3055"/>
      <c r="F186" s="3055"/>
      <c r="G186" s="3028"/>
      <c r="H186" s="2627"/>
      <c r="I186" s="2628" t="s">
        <v>1190</v>
      </c>
      <c r="J186" s="2629"/>
      <c r="K186" s="2630"/>
      <c r="L186" s="2631"/>
      <c r="M186" s="2005"/>
      <c r="N186" s="555"/>
      <c r="O186" s="1551"/>
      <c r="P186" s="1551"/>
      <c r="AH186" s="1562">
        <v>0</v>
      </c>
    </row>
    <row r="187" spans="1:34" s="1562" customFormat="1" ht="18.75" customHeight="1">
      <c r="A187" s="1748" t="s">
        <v>168</v>
      </c>
      <c r="B187" s="1748" t="s">
        <v>193</v>
      </c>
      <c r="C187" s="1614"/>
      <c r="D187" s="3054"/>
      <c r="E187" s="3055"/>
      <c r="F187" s="3055"/>
      <c r="G187" s="3028" t="str">
        <f>INDEX(PT_DIFFERENTIATION_NTAR,MATCH(B187,PT_DIFFERENTIATION_NTAR_ID,0))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H187" s="2002"/>
      <c r="I187" s="1665" t="s">
        <v>22</v>
      </c>
      <c r="J187" s="1699" t="s">
        <v>26</v>
      </c>
      <c r="K187" s="1704">
        <v>0.59722600000000003</v>
      </c>
      <c r="L187" s="2002" t="s">
        <v>351</v>
      </c>
      <c r="M187" s="2005"/>
      <c r="N187" s="555"/>
      <c r="O187" s="1551"/>
      <c r="P187" s="1551"/>
      <c r="AH187" s="1562">
        <v>0</v>
      </c>
    </row>
    <row r="188" spans="1:34" s="1562" customFormat="1" ht="42.75" customHeight="1">
      <c r="A188" s="1748"/>
      <c r="B188" s="1748"/>
      <c r="C188" s="1614" t="s">
        <v>1191</v>
      </c>
      <c r="D188" s="3054"/>
      <c r="E188" s="3055"/>
      <c r="F188" s="3055"/>
      <c r="G188" s="3028"/>
      <c r="H188" s="2632"/>
      <c r="I188" s="2633" t="s">
        <v>1190</v>
      </c>
      <c r="J188" s="2634"/>
      <c r="K188" s="2635"/>
      <c r="L188" s="2636"/>
      <c r="M188" s="2005"/>
      <c r="N188" s="555"/>
      <c r="O188" s="1551"/>
      <c r="P188" s="1551"/>
      <c r="AH188" s="1562">
        <v>0</v>
      </c>
    </row>
    <row r="189" spans="1:34" s="1562" customFormat="1" ht="18.75" customHeight="1">
      <c r="A189" s="1748" t="s">
        <v>168</v>
      </c>
      <c r="B189" s="1748" t="s">
        <v>198</v>
      </c>
      <c r="C189" s="1614"/>
      <c r="D189" s="3054"/>
      <c r="E189" s="3055"/>
      <c r="F189" s="3055"/>
      <c r="G189" s="3028" t="str">
        <f>INDEX(PT_DIFFERENTIATION_NTAR,MATCH(B189,PT_DIFFERENTIATION_NTAR_ID,0))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H189" s="2002"/>
      <c r="I189" s="1665" t="s">
        <v>22</v>
      </c>
      <c r="J189" s="1699" t="s">
        <v>26</v>
      </c>
      <c r="K189" s="1704">
        <v>1.478793</v>
      </c>
      <c r="L189" s="2002" t="s">
        <v>351</v>
      </c>
      <c r="M189" s="2005"/>
      <c r="N189" s="555"/>
      <c r="O189" s="1551"/>
      <c r="P189" s="1551"/>
      <c r="AH189" s="1562">
        <v>0</v>
      </c>
    </row>
    <row r="190" spans="1:34" s="1562" customFormat="1" ht="66.75" customHeight="1">
      <c r="A190" s="1748"/>
      <c r="B190" s="1748"/>
      <c r="C190" s="1614" t="s">
        <v>1191</v>
      </c>
      <c r="D190" s="3054"/>
      <c r="E190" s="3055"/>
      <c r="F190" s="3055"/>
      <c r="G190" s="3028"/>
      <c r="H190" s="2637"/>
      <c r="I190" s="2638" t="s">
        <v>1190</v>
      </c>
      <c r="J190" s="2639"/>
      <c r="K190" s="2640"/>
      <c r="L190" s="2641"/>
      <c r="M190" s="2005"/>
      <c r="N190" s="555"/>
      <c r="O190" s="1551"/>
      <c r="P190" s="1551"/>
      <c r="AH190" s="1562">
        <v>0</v>
      </c>
    </row>
    <row r="191" spans="1:34" s="1562" customFormat="1" ht="18.75" customHeight="1">
      <c r="A191" s="1748" t="s">
        <v>168</v>
      </c>
      <c r="B191" s="1748" t="s">
        <v>203</v>
      </c>
      <c r="C191" s="1614"/>
      <c r="D191" s="3054"/>
      <c r="E191" s="3055"/>
      <c r="F191" s="3055"/>
      <c r="G191" s="3028" t="str">
        <f>INDEX(PT_DIFFERENTIATION_NTAR,MATCH(B191,PT_DIFFERENTIATION_NTAR_ID,0))</f>
        <v>Тарифы на тепловую энергию, поставляемую потребителям г. Тюмени от котельной, расположенной по адресу: г.Тюмень, ул. Сказочная, 26, строение 2 (Котельная № 14)</v>
      </c>
      <c r="H191" s="2002"/>
      <c r="I191" s="1665" t="s">
        <v>22</v>
      </c>
      <c r="J191" s="1699" t="s">
        <v>26</v>
      </c>
      <c r="K191" s="1704">
        <v>7.1305579999999997</v>
      </c>
      <c r="L191" s="2002" t="s">
        <v>351</v>
      </c>
      <c r="M191" s="2005"/>
      <c r="N191" s="555"/>
      <c r="O191" s="1551"/>
      <c r="P191" s="1551"/>
      <c r="AH191" s="1562">
        <v>0</v>
      </c>
    </row>
    <row r="192" spans="1:34" s="1562" customFormat="1" ht="43.5" customHeight="1">
      <c r="A192" s="1748"/>
      <c r="B192" s="1748"/>
      <c r="C192" s="1614" t="s">
        <v>1191</v>
      </c>
      <c r="D192" s="3054"/>
      <c r="E192" s="3055"/>
      <c r="F192" s="3055"/>
      <c r="G192" s="3028"/>
      <c r="H192" s="2642"/>
      <c r="I192" s="2643" t="s">
        <v>1190</v>
      </c>
      <c r="J192" s="2644"/>
      <c r="K192" s="2645"/>
      <c r="L192" s="2646"/>
      <c r="M192" s="2005"/>
      <c r="N192" s="555"/>
      <c r="O192" s="1551"/>
      <c r="P192" s="1551"/>
      <c r="AH192" s="1562">
        <v>0</v>
      </c>
    </row>
    <row r="193" spans="1:34" s="1562" customFormat="1" ht="18.75" customHeight="1">
      <c r="A193" s="1748" t="s">
        <v>168</v>
      </c>
      <c r="B193" s="1748" t="s">
        <v>208</v>
      </c>
      <c r="C193" s="1614"/>
      <c r="D193" s="3054"/>
      <c r="E193" s="3055"/>
      <c r="F193" s="3055"/>
      <c r="G193" s="3028" t="str">
        <f>INDEX(PT_DIFFERENTIATION_NTAR,MATCH(B193,PT_DIFFERENTIATION_NTAR_ID,0))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H193" s="2002"/>
      <c r="I193" s="1665" t="s">
        <v>22</v>
      </c>
      <c r="J193" s="1699" t="s">
        <v>26</v>
      </c>
      <c r="K193" s="1704">
        <v>2.0799000000000002E-2</v>
      </c>
      <c r="L193" s="2002" t="s">
        <v>351</v>
      </c>
      <c r="M193" s="2005"/>
      <c r="N193" s="555"/>
      <c r="O193" s="1551"/>
      <c r="P193" s="1551"/>
      <c r="AH193" s="1562">
        <v>0</v>
      </c>
    </row>
    <row r="194" spans="1:34" s="1562" customFormat="1" ht="45.75" customHeight="1">
      <c r="A194" s="1748"/>
      <c r="B194" s="1748"/>
      <c r="C194" s="1614" t="s">
        <v>1191</v>
      </c>
      <c r="D194" s="3054"/>
      <c r="E194" s="3055"/>
      <c r="F194" s="3055"/>
      <c r="G194" s="3028"/>
      <c r="H194" s="2647"/>
      <c r="I194" s="2648" t="s">
        <v>1190</v>
      </c>
      <c r="J194" s="2649"/>
      <c r="K194" s="2650"/>
      <c r="L194" s="2651"/>
      <c r="M194" s="2005"/>
      <c r="N194" s="555"/>
      <c r="O194" s="1551"/>
      <c r="P194" s="1551"/>
      <c r="AH194" s="1562">
        <v>0</v>
      </c>
    </row>
    <row r="195" spans="1:34" s="1562" customFormat="1" ht="0.75" customHeight="1">
      <c r="A195" s="1706"/>
      <c r="B195" s="1706"/>
      <c r="C195" s="306" t="s">
        <v>1200</v>
      </c>
      <c r="D195" s="3053"/>
      <c r="E195" s="2852"/>
      <c r="F195" s="2991"/>
      <c r="G195" s="337"/>
      <c r="H195" s="1427"/>
      <c r="I195" s="588"/>
      <c r="J195" s="508"/>
      <c r="K195" s="1427"/>
      <c r="L195" s="152"/>
      <c r="M195" s="279"/>
      <c r="N195" s="272"/>
      <c r="O195" s="1551"/>
      <c r="P195" s="1551"/>
      <c r="AH195" s="1558">
        <v>0</v>
      </c>
    </row>
    <row r="196" spans="1:34" s="1562" customFormat="1" ht="45" hidden="1" customHeight="1">
      <c r="A196" s="1706" t="s">
        <v>214</v>
      </c>
      <c r="B196" s="1706" t="s">
        <v>215</v>
      </c>
      <c r="C196" s="306"/>
      <c r="D196" s="3053"/>
      <c r="E196" s="2852"/>
      <c r="F196" s="2991" t="str">
        <f>INDEX(PT_DIFFERENTIATION_VTAR,MATCH(A196,PT_DIFFERENTIATION_VTAR_ID,0))</f>
        <v>Тарифы на теплоноситель, поставляемый теплоснабжающими организациями потребителям, другим теплоснабжающим организациям</v>
      </c>
      <c r="G196" s="3028" t="str">
        <f>INDEX(PT_DIFFERENTIATION_NTAR,MATCH(B196,PT_DIFFERENTIATION_NTAR_ID,0))</f>
        <v/>
      </c>
      <c r="H196" s="1787"/>
      <c r="I196" s="1665"/>
      <c r="J196" s="1699"/>
      <c r="K196" s="1704"/>
      <c r="L196" s="1787" t="s">
        <v>351</v>
      </c>
      <c r="M196" s="279"/>
      <c r="N196" s="272"/>
      <c r="O196" s="1551"/>
      <c r="P196" s="1551"/>
      <c r="AH196" s="1558">
        <v>0</v>
      </c>
    </row>
    <row r="197" spans="1:34" s="1562" customFormat="1" ht="18.75" hidden="1" customHeight="1">
      <c r="A197" s="1706"/>
      <c r="B197" s="1706"/>
      <c r="C197" s="306" t="s">
        <v>1191</v>
      </c>
      <c r="D197" s="3053"/>
      <c r="E197" s="2852"/>
      <c r="F197" s="2991"/>
      <c r="G197" s="3028"/>
      <c r="H197" s="1427"/>
      <c r="I197" s="588" t="s">
        <v>1190</v>
      </c>
      <c r="J197" s="508"/>
      <c r="K197" s="1427"/>
      <c r="L197" s="152"/>
      <c r="M197" s="279"/>
      <c r="N197" s="272"/>
      <c r="O197" s="1551"/>
      <c r="P197" s="1551"/>
      <c r="AH197" s="1558">
        <v>0</v>
      </c>
    </row>
    <row r="198" spans="1:34" s="1562" customFormat="1" ht="0.75" hidden="1" customHeight="1">
      <c r="A198" s="1706"/>
      <c r="B198" s="1706"/>
      <c r="C198" s="306" t="s">
        <v>1200</v>
      </c>
      <c r="D198" s="3053"/>
      <c r="E198" s="2852"/>
      <c r="F198" s="2991"/>
      <c r="G198" s="337"/>
      <c r="H198" s="1427"/>
      <c r="I198" s="588"/>
      <c r="J198" s="508"/>
      <c r="K198" s="1427"/>
      <c r="L198" s="152"/>
      <c r="M198" s="279"/>
      <c r="N198" s="272"/>
      <c r="O198" s="1551"/>
      <c r="P198" s="1551"/>
      <c r="AH198" s="1558">
        <v>0</v>
      </c>
    </row>
    <row r="199" spans="1:34" s="1562" customFormat="1" ht="45" hidden="1" customHeight="1">
      <c r="A199" s="1706" t="s">
        <v>220</v>
      </c>
      <c r="B199" s="1706" t="s">
        <v>221</v>
      </c>
      <c r="C199" s="306"/>
      <c r="D199" s="3053"/>
      <c r="E199" s="2852"/>
      <c r="F199" s="2991" t="str">
        <f>INDEX(PT_DIFFERENTIATION_VTAR,MATCH(A199,PT_DIFFERENTIATION_VTAR_ID,0))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199" s="3028" t="str">
        <f>INDEX(PT_DIFFERENTIATION_NTAR,MATCH(B199,PT_DIFFERENTIATION_NTAR_ID,0))</f>
        <v/>
      </c>
      <c r="H199" s="1787"/>
      <c r="I199" s="1665"/>
      <c r="J199" s="1699"/>
      <c r="K199" s="1704"/>
      <c r="L199" s="1787" t="s">
        <v>351</v>
      </c>
      <c r="M199" s="279"/>
      <c r="N199" s="272"/>
      <c r="O199" s="1551"/>
      <c r="P199" s="1551"/>
      <c r="AH199" s="1558">
        <v>0</v>
      </c>
    </row>
    <row r="200" spans="1:34" s="1562" customFormat="1" ht="18.75" hidden="1" customHeight="1">
      <c r="A200" s="1706"/>
      <c r="B200" s="1706"/>
      <c r="C200" s="306" t="s">
        <v>1191</v>
      </c>
      <c r="D200" s="3053"/>
      <c r="E200" s="2852"/>
      <c r="F200" s="2991"/>
      <c r="G200" s="3028"/>
      <c r="H200" s="1427"/>
      <c r="I200" s="588" t="s">
        <v>1190</v>
      </c>
      <c r="J200" s="508"/>
      <c r="K200" s="1427"/>
      <c r="L200" s="152"/>
      <c r="M200" s="279"/>
      <c r="N200" s="272"/>
      <c r="O200" s="1551"/>
      <c r="P200" s="1551"/>
      <c r="AH200" s="1558">
        <v>0</v>
      </c>
    </row>
    <row r="201" spans="1:34" s="1562" customFormat="1" ht="0.75" hidden="1" customHeight="1">
      <c r="A201" s="1706"/>
      <c r="B201" s="1706"/>
      <c r="C201" s="306" t="s">
        <v>1200</v>
      </c>
      <c r="D201" s="3053"/>
      <c r="E201" s="2852"/>
      <c r="F201" s="2991"/>
      <c r="G201" s="337"/>
      <c r="H201" s="1427"/>
      <c r="I201" s="588"/>
      <c r="J201" s="508"/>
      <c r="K201" s="1427"/>
      <c r="L201" s="152"/>
      <c r="M201" s="279"/>
      <c r="N201" s="272"/>
      <c r="O201" s="1551"/>
      <c r="P201" s="1551"/>
      <c r="AH201" s="1558">
        <v>0</v>
      </c>
    </row>
    <row r="202" spans="1:34" s="1562" customFormat="1" ht="18.75" hidden="1" customHeight="1">
      <c r="A202" s="1706" t="s">
        <v>226</v>
      </c>
      <c r="B202" s="1706" t="s">
        <v>227</v>
      </c>
      <c r="C202" s="306"/>
      <c r="D202" s="3053"/>
      <c r="E202" s="2852"/>
      <c r="F202" s="2991" t="str">
        <f>INDEX(PT_DIFFERENTIATION_VTAR,MATCH(A202,PT_DIFFERENTIATION_VTAR_ID,0))</f>
        <v>Тарифы на услуги по передаче тепловой энергии</v>
      </c>
      <c r="G202" s="3028" t="str">
        <f>INDEX(PT_DIFFERENTIATION_NTAR,MATCH(B202,PT_DIFFERENTIATION_NTAR_ID,0))</f>
        <v/>
      </c>
      <c r="H202" s="1787"/>
      <c r="I202" s="1665"/>
      <c r="J202" s="1699"/>
      <c r="K202" s="1704"/>
      <c r="L202" s="1787" t="s">
        <v>351</v>
      </c>
      <c r="M202" s="279"/>
      <c r="N202" s="272"/>
      <c r="O202" s="1551"/>
      <c r="P202" s="1551"/>
      <c r="AH202" s="1558">
        <v>0</v>
      </c>
    </row>
    <row r="203" spans="1:34" s="1562" customFormat="1" ht="18.75" hidden="1" customHeight="1">
      <c r="A203" s="1706"/>
      <c r="B203" s="1706"/>
      <c r="C203" s="306" t="s">
        <v>1191</v>
      </c>
      <c r="D203" s="3053"/>
      <c r="E203" s="2852"/>
      <c r="F203" s="2991"/>
      <c r="G203" s="3028"/>
      <c r="H203" s="1427"/>
      <c r="I203" s="588" t="s">
        <v>1190</v>
      </c>
      <c r="J203" s="508"/>
      <c r="K203" s="1427"/>
      <c r="L203" s="152"/>
      <c r="M203" s="279"/>
      <c r="N203" s="272"/>
      <c r="O203" s="1551"/>
      <c r="P203" s="1551"/>
      <c r="AH203" s="1558">
        <v>0</v>
      </c>
    </row>
    <row r="204" spans="1:34" s="1562" customFormat="1" ht="0.75" hidden="1" customHeight="1">
      <c r="A204" s="1706"/>
      <c r="B204" s="1706"/>
      <c r="C204" s="306" t="s">
        <v>1200</v>
      </c>
      <c r="D204" s="3053"/>
      <c r="E204" s="2852"/>
      <c r="F204" s="2991"/>
      <c r="G204" s="337"/>
      <c r="H204" s="1427"/>
      <c r="I204" s="588"/>
      <c r="J204" s="508"/>
      <c r="K204" s="1427"/>
      <c r="L204" s="152"/>
      <c r="M204" s="279"/>
      <c r="N204" s="272"/>
      <c r="O204" s="1551"/>
      <c r="P204" s="1551"/>
      <c r="AH204" s="1558">
        <v>0</v>
      </c>
    </row>
    <row r="205" spans="1:34" s="1562" customFormat="1" ht="18.75" hidden="1" customHeight="1">
      <c r="A205" s="1706" t="s">
        <v>232</v>
      </c>
      <c r="B205" s="1706" t="s">
        <v>233</v>
      </c>
      <c r="C205" s="306"/>
      <c r="D205" s="3053"/>
      <c r="E205" s="2852"/>
      <c r="F205" s="2991" t="str">
        <f>INDEX(PT_DIFFERENTIATION_VTAR,MATCH(A205,PT_DIFFERENTIATION_VTAR_ID,0))</f>
        <v>Тарифы на услуги по передаче теплоносителя</v>
      </c>
      <c r="G205" s="3028" t="str">
        <f>INDEX(PT_DIFFERENTIATION_NTAR,MATCH(B205,PT_DIFFERENTIATION_NTAR_ID,0))</f>
        <v/>
      </c>
      <c r="H205" s="1787"/>
      <c r="I205" s="1665"/>
      <c r="J205" s="1699"/>
      <c r="K205" s="1704"/>
      <c r="L205" s="1787" t="s">
        <v>351</v>
      </c>
      <c r="M205" s="279"/>
      <c r="N205" s="272"/>
      <c r="O205" s="1551"/>
      <c r="P205" s="1551"/>
      <c r="AH205" s="1558">
        <v>0</v>
      </c>
    </row>
    <row r="206" spans="1:34" s="1562" customFormat="1" ht="18.75" hidden="1" customHeight="1">
      <c r="A206" s="1706"/>
      <c r="B206" s="1706"/>
      <c r="C206" s="306" t="s">
        <v>1191</v>
      </c>
      <c r="D206" s="3053"/>
      <c r="E206" s="2852"/>
      <c r="F206" s="2991"/>
      <c r="G206" s="3028"/>
      <c r="H206" s="1427"/>
      <c r="I206" s="588" t="s">
        <v>1190</v>
      </c>
      <c r="J206" s="508"/>
      <c r="K206" s="1427"/>
      <c r="L206" s="152"/>
      <c r="M206" s="279"/>
      <c r="N206" s="272"/>
      <c r="O206" s="1551"/>
      <c r="P206" s="1551"/>
      <c r="AH206" s="1558">
        <v>0</v>
      </c>
    </row>
    <row r="207" spans="1:34" s="1562" customFormat="1" ht="0.75" hidden="1" customHeight="1">
      <c r="A207" s="1706"/>
      <c r="B207" s="1706"/>
      <c r="C207" s="306" t="s">
        <v>1200</v>
      </c>
      <c r="D207" s="3053"/>
      <c r="E207" s="2852"/>
      <c r="F207" s="2991"/>
      <c r="G207" s="337"/>
      <c r="H207" s="1427"/>
      <c r="I207" s="588"/>
      <c r="J207" s="508"/>
      <c r="K207" s="1427"/>
      <c r="L207" s="152"/>
      <c r="M207" s="279"/>
      <c r="N207" s="272"/>
      <c r="O207" s="1551"/>
      <c r="P207" s="1551"/>
      <c r="AH207" s="1558">
        <v>0</v>
      </c>
    </row>
    <row r="208" spans="1:34" s="1562" customFormat="1" ht="18.75" hidden="1" customHeight="1">
      <c r="A208" s="1706" t="s">
        <v>238</v>
      </c>
      <c r="B208" s="1706" t="s">
        <v>239</v>
      </c>
      <c r="C208" s="306"/>
      <c r="D208" s="3053"/>
      <c r="E208" s="2852"/>
      <c r="F208" s="2991" t="str">
        <f>INDEX(PT_DIFFERENTIATION_VTAR,MATCH(A208,PT_DIFFERENTIATION_VTAR_ID,0))</f>
        <v>Плата за услуги по поддержанию резервной тепловой мощности при отсутствии потребления тепловой энергии</v>
      </c>
      <c r="G208" s="3028" t="str">
        <f>INDEX(PT_DIFFERENTIATION_NTAR,MATCH(B208,PT_DIFFERENTIATION_NTAR_ID,0))</f>
        <v/>
      </c>
      <c r="H208" s="1787"/>
      <c r="I208" s="1665"/>
      <c r="J208" s="1699"/>
      <c r="K208" s="1704"/>
      <c r="L208" s="1787" t="s">
        <v>351</v>
      </c>
      <c r="M208" s="279"/>
      <c r="N208" s="272"/>
      <c r="O208" s="1551"/>
      <c r="P208" s="1551"/>
      <c r="AH208" s="1558">
        <v>0</v>
      </c>
    </row>
    <row r="209" spans="1:34" s="1562" customFormat="1" ht="18.75" hidden="1" customHeight="1">
      <c r="A209" s="1706"/>
      <c r="B209" s="1706"/>
      <c r="C209" s="306" t="s">
        <v>1191</v>
      </c>
      <c r="D209" s="3053"/>
      <c r="E209" s="2852"/>
      <c r="F209" s="2991"/>
      <c r="G209" s="3028"/>
      <c r="H209" s="1427"/>
      <c r="I209" s="588" t="s">
        <v>1190</v>
      </c>
      <c r="J209" s="508"/>
      <c r="K209" s="1427"/>
      <c r="L209" s="152"/>
      <c r="M209" s="279"/>
      <c r="N209" s="272"/>
      <c r="O209" s="1551"/>
      <c r="P209" s="1551"/>
      <c r="AH209" s="1558">
        <v>0</v>
      </c>
    </row>
    <row r="210" spans="1:34" s="1562" customFormat="1" ht="0.75" hidden="1" customHeight="1">
      <c r="A210" s="1706"/>
      <c r="B210" s="1706"/>
      <c r="C210" s="306" t="s">
        <v>1200</v>
      </c>
      <c r="D210" s="3053"/>
      <c r="E210" s="2852"/>
      <c r="F210" s="2991"/>
      <c r="G210" s="337"/>
      <c r="H210" s="1427"/>
      <c r="I210" s="588"/>
      <c r="J210" s="508"/>
      <c r="K210" s="1427"/>
      <c r="L210" s="152"/>
      <c r="M210" s="279"/>
      <c r="N210" s="272"/>
      <c r="O210" s="1551"/>
      <c r="P210" s="1551"/>
      <c r="AH210" s="1558">
        <v>0</v>
      </c>
    </row>
    <row r="211" spans="1:34" s="1562" customFormat="1" ht="18.75" hidden="1" customHeight="1">
      <c r="A211" s="1706" t="s">
        <v>244</v>
      </c>
      <c r="B211" s="1706" t="s">
        <v>245</v>
      </c>
      <c r="C211" s="306"/>
      <c r="D211" s="3053"/>
      <c r="E211" s="2852"/>
      <c r="F211" s="2991" t="str">
        <f>INDEX(PT_DIFFERENTIATION_VTAR,MATCH(A211,PT_DIFFERENTIATION_VTAR_ID,0))</f>
        <v>Плата за подключение (технологическое присоединение) к системе теплоснабжения</v>
      </c>
      <c r="G211" s="3028" t="str">
        <f>INDEX(PT_DIFFERENTIATION_NTAR,MATCH(B211,PT_DIFFERENTIATION_NTAR_ID,0))</f>
        <v/>
      </c>
      <c r="H211" s="1787"/>
      <c r="I211" s="1665"/>
      <c r="J211" s="1699"/>
      <c r="K211" s="1704"/>
      <c r="L211" s="1787" t="s">
        <v>351</v>
      </c>
      <c r="M211" s="279"/>
      <c r="N211" s="272"/>
      <c r="O211" s="1551"/>
      <c r="P211" s="1551"/>
      <c r="AH211" s="1558">
        <v>0</v>
      </c>
    </row>
    <row r="212" spans="1:34" s="1562" customFormat="1" ht="18.75" hidden="1" customHeight="1">
      <c r="A212" s="1706"/>
      <c r="B212" s="1706"/>
      <c r="C212" s="306" t="s">
        <v>1191</v>
      </c>
      <c r="D212" s="3053"/>
      <c r="E212" s="2852"/>
      <c r="F212" s="2991"/>
      <c r="G212" s="3028"/>
      <c r="H212" s="1427"/>
      <c r="I212" s="588" t="s">
        <v>1190</v>
      </c>
      <c r="J212" s="508"/>
      <c r="K212" s="1427"/>
      <c r="L212" s="152"/>
      <c r="M212" s="279"/>
      <c r="N212" s="272"/>
      <c r="O212" s="1551"/>
      <c r="P212" s="1551"/>
      <c r="AH212" s="1558">
        <v>0</v>
      </c>
    </row>
    <row r="213" spans="1:34" s="1562" customFormat="1" ht="0.75" hidden="1" customHeight="1">
      <c r="A213" s="1706"/>
      <c r="B213" s="1706"/>
      <c r="C213" s="306" t="s">
        <v>1200</v>
      </c>
      <c r="D213" s="3053"/>
      <c r="E213" s="2852"/>
      <c r="F213" s="2991"/>
      <c r="G213" s="337"/>
      <c r="H213" s="1427"/>
      <c r="I213" s="588"/>
      <c r="J213" s="508"/>
      <c r="K213" s="1427"/>
      <c r="L213" s="152"/>
      <c r="M213" s="279"/>
      <c r="N213" s="272"/>
      <c r="O213" s="1551"/>
      <c r="P213" s="1551"/>
      <c r="AH213" s="1558">
        <v>0</v>
      </c>
    </row>
    <row r="214" spans="1:34" s="1562" customFormat="1" ht="18.75" hidden="1" customHeight="1">
      <c r="A214" s="1706" t="s">
        <v>250</v>
      </c>
      <c r="B214" s="1706" t="s">
        <v>251</v>
      </c>
      <c r="C214" s="306"/>
      <c r="D214" s="3053"/>
      <c r="E214" s="2852"/>
      <c r="F214" s="2991" t="str">
        <f>INDEX(PT_DIFFERENTIATION_VTAR,MATCH(A214,PT_DIFFERENTIATION_VTAR_ID,0))</f>
        <v>Плата за подключение (технологическое присоединение) к системе теплоснабжения (индивидуальная)</v>
      </c>
      <c r="G214" s="3028" t="str">
        <f>INDEX(PT_DIFFERENTIATION_NTAR,MATCH(B214,PT_DIFFERENTIATION_NTAR_ID,0))</f>
        <v/>
      </c>
      <c r="H214" s="1911"/>
      <c r="I214" s="1665"/>
      <c r="J214" s="1699"/>
      <c r="K214" s="1704"/>
      <c r="L214" s="1911" t="s">
        <v>351</v>
      </c>
      <c r="M214" s="279"/>
      <c r="N214" s="272"/>
      <c r="O214" s="1551"/>
      <c r="P214" s="1551"/>
      <c r="AH214" s="1558">
        <v>0</v>
      </c>
    </row>
    <row r="215" spans="1:34" s="1562" customFormat="1" ht="18.75" hidden="1" customHeight="1">
      <c r="A215" s="1706"/>
      <c r="B215" s="1706"/>
      <c r="C215" s="306" t="s">
        <v>1191</v>
      </c>
      <c r="D215" s="3053"/>
      <c r="E215" s="2852"/>
      <c r="F215" s="2991"/>
      <c r="G215" s="3028"/>
      <c r="H215" s="1427"/>
      <c r="I215" s="588" t="s">
        <v>1190</v>
      </c>
      <c r="J215" s="508"/>
      <c r="K215" s="1427"/>
      <c r="L215" s="152"/>
      <c r="M215" s="279"/>
      <c r="N215" s="272"/>
      <c r="O215" s="1551"/>
      <c r="P215" s="1551"/>
      <c r="AH215" s="1558">
        <v>0</v>
      </c>
    </row>
    <row r="216" spans="1:34" s="1562" customFormat="1" ht="0.75" hidden="1" customHeight="1">
      <c r="A216" s="1706"/>
      <c r="B216" s="1706"/>
      <c r="C216" s="306" t="s">
        <v>1200</v>
      </c>
      <c r="D216" s="3053"/>
      <c r="E216" s="2852"/>
      <c r="F216" s="2991"/>
      <c r="G216" s="337"/>
      <c r="H216" s="1427"/>
      <c r="I216" s="588"/>
      <c r="J216" s="508"/>
      <c r="K216" s="1427"/>
      <c r="L216" s="152"/>
      <c r="M216" s="279"/>
      <c r="N216" s="272"/>
      <c r="O216" s="1551"/>
      <c r="P216" s="1551"/>
      <c r="AH216" s="1558">
        <v>0</v>
      </c>
    </row>
    <row r="217" spans="1:34" s="1562" customFormat="1" ht="18.75" hidden="1" customHeight="1">
      <c r="A217" s="1706" t="s">
        <v>270</v>
      </c>
      <c r="B217" s="1706" t="s">
        <v>271</v>
      </c>
      <c r="C217" s="306"/>
      <c r="D217" s="3053"/>
      <c r="E217" s="2852"/>
      <c r="F217" s="2991" t="str">
        <f>INDEX(PT_DIFFERENTIATION_VTAR,MATCH(A217,PT_DIFFERENTIATION_VTAR_ID,0))</f>
        <v>Тариф на питьевую воду (питьевое водоснабжение)</v>
      </c>
      <c r="G217" s="3028" t="str">
        <f>INDEX(PT_DIFFERENTIATION_NTAR,MATCH(B217,PT_DIFFERENTIATION_NTAR_ID,0))</f>
        <v/>
      </c>
      <c r="H217" s="1787"/>
      <c r="I217" s="1665"/>
      <c r="J217" s="1699"/>
      <c r="K217" s="1704"/>
      <c r="L217" s="1787" t="s">
        <v>351</v>
      </c>
      <c r="M217" s="279"/>
      <c r="N217" s="272"/>
      <c r="O217" s="1551"/>
      <c r="P217" s="1551"/>
      <c r="AH217" s="1558">
        <v>0</v>
      </c>
    </row>
    <row r="218" spans="1:34" s="1562" customFormat="1" ht="18.75" hidden="1" customHeight="1">
      <c r="A218" s="1706"/>
      <c r="B218" s="1706"/>
      <c r="C218" s="306" t="s">
        <v>1191</v>
      </c>
      <c r="D218" s="3053"/>
      <c r="E218" s="2852"/>
      <c r="F218" s="2991"/>
      <c r="G218" s="3028"/>
      <c r="H218" s="1427"/>
      <c r="I218" s="588" t="s">
        <v>1190</v>
      </c>
      <c r="J218" s="508"/>
      <c r="K218" s="1427"/>
      <c r="L218" s="152"/>
      <c r="M218" s="279"/>
      <c r="N218" s="272"/>
      <c r="O218" s="1551"/>
      <c r="P218" s="1551"/>
      <c r="AH218" s="1558">
        <v>0</v>
      </c>
    </row>
    <row r="219" spans="1:34" s="1562" customFormat="1" ht="0.75" hidden="1" customHeight="1">
      <c r="A219" s="1706"/>
      <c r="B219" s="1706"/>
      <c r="C219" s="306" t="s">
        <v>1200</v>
      </c>
      <c r="D219" s="3053"/>
      <c r="E219" s="2852"/>
      <c r="F219" s="2991"/>
      <c r="G219" s="337"/>
      <c r="H219" s="1427"/>
      <c r="I219" s="588"/>
      <c r="J219" s="508"/>
      <c r="K219" s="1427"/>
      <c r="L219" s="152"/>
      <c r="M219" s="279"/>
      <c r="N219" s="272"/>
      <c r="O219" s="1551"/>
      <c r="P219" s="1551"/>
      <c r="AH219" s="1558">
        <v>0</v>
      </c>
    </row>
    <row r="220" spans="1:34" s="1562" customFormat="1" ht="18.75" hidden="1" customHeight="1">
      <c r="A220" s="1706" t="s">
        <v>275</v>
      </c>
      <c r="B220" s="1706" t="s">
        <v>276</v>
      </c>
      <c r="C220" s="306"/>
      <c r="D220" s="3053"/>
      <c r="E220" s="2852"/>
      <c r="F220" s="2991" t="str">
        <f>INDEX(PT_DIFFERENTIATION_VTAR,MATCH(A220,PT_DIFFERENTIATION_VTAR_ID,0))</f>
        <v>Тариф на техническую воду</v>
      </c>
      <c r="G220" s="3028" t="str">
        <f>INDEX(PT_DIFFERENTIATION_NTAR,MATCH(B220,PT_DIFFERENTIATION_NTAR_ID,0))</f>
        <v/>
      </c>
      <c r="H220" s="1787"/>
      <c r="I220" s="1665"/>
      <c r="J220" s="1699"/>
      <c r="K220" s="1704"/>
      <c r="L220" s="1787" t="s">
        <v>351</v>
      </c>
      <c r="M220" s="279"/>
      <c r="N220" s="272"/>
      <c r="O220" s="1551"/>
      <c r="P220" s="1551"/>
      <c r="AH220" s="1558">
        <v>0</v>
      </c>
    </row>
    <row r="221" spans="1:34" s="1562" customFormat="1" ht="18.75" hidden="1" customHeight="1">
      <c r="A221" s="1706"/>
      <c r="B221" s="1706"/>
      <c r="C221" s="306" t="s">
        <v>1191</v>
      </c>
      <c r="D221" s="3053"/>
      <c r="E221" s="2852"/>
      <c r="F221" s="2991"/>
      <c r="G221" s="3028"/>
      <c r="H221" s="1427"/>
      <c r="I221" s="588" t="s">
        <v>1190</v>
      </c>
      <c r="J221" s="508"/>
      <c r="K221" s="1427"/>
      <c r="L221" s="152"/>
      <c r="M221" s="279"/>
      <c r="N221" s="272"/>
      <c r="O221" s="1551"/>
      <c r="P221" s="1551"/>
      <c r="AH221" s="1558">
        <v>0</v>
      </c>
    </row>
    <row r="222" spans="1:34" s="1562" customFormat="1" ht="0.75" hidden="1" customHeight="1">
      <c r="A222" s="1706"/>
      <c r="B222" s="1706"/>
      <c r="C222" s="306" t="s">
        <v>1200</v>
      </c>
      <c r="D222" s="3053"/>
      <c r="E222" s="2852"/>
      <c r="F222" s="2991"/>
      <c r="G222" s="337"/>
      <c r="H222" s="1427"/>
      <c r="I222" s="588"/>
      <c r="J222" s="508"/>
      <c r="K222" s="1427"/>
      <c r="L222" s="152"/>
      <c r="M222" s="279"/>
      <c r="N222" s="272"/>
      <c r="O222" s="1551"/>
      <c r="P222" s="1551"/>
      <c r="AH222" s="1558">
        <v>0</v>
      </c>
    </row>
    <row r="223" spans="1:34" s="1562" customFormat="1" ht="18.75" hidden="1" customHeight="1">
      <c r="A223" s="1706" t="s">
        <v>280</v>
      </c>
      <c r="B223" s="1706" t="s">
        <v>281</v>
      </c>
      <c r="C223" s="306"/>
      <c r="D223" s="3053"/>
      <c r="E223" s="2852"/>
      <c r="F223" s="2991" t="str">
        <f>INDEX(PT_DIFFERENTIATION_VTAR,MATCH(A223,PT_DIFFERENTIATION_VTAR_ID,0))</f>
        <v>Тариф на транспортировку воды</v>
      </c>
      <c r="G223" s="3028" t="str">
        <f>INDEX(PT_DIFFERENTIATION_NTAR,MATCH(B223,PT_DIFFERENTIATION_NTAR_ID,0))</f>
        <v/>
      </c>
      <c r="H223" s="1787"/>
      <c r="I223" s="1665"/>
      <c r="J223" s="1699"/>
      <c r="K223" s="1704"/>
      <c r="L223" s="1787" t="s">
        <v>351</v>
      </c>
      <c r="M223" s="279"/>
      <c r="N223" s="272"/>
      <c r="O223" s="1551"/>
      <c r="P223" s="1551"/>
      <c r="AH223" s="1558">
        <v>0</v>
      </c>
    </row>
    <row r="224" spans="1:34" s="1562" customFormat="1" ht="18.75" hidden="1" customHeight="1">
      <c r="A224" s="1706"/>
      <c r="B224" s="1706"/>
      <c r="C224" s="306" t="s">
        <v>1191</v>
      </c>
      <c r="D224" s="3053"/>
      <c r="E224" s="2852"/>
      <c r="F224" s="2991"/>
      <c r="G224" s="3028"/>
      <c r="H224" s="1427"/>
      <c r="I224" s="588" t="s">
        <v>1190</v>
      </c>
      <c r="J224" s="508"/>
      <c r="K224" s="1427"/>
      <c r="L224" s="152"/>
      <c r="M224" s="279"/>
      <c r="N224" s="272"/>
      <c r="O224" s="1551"/>
      <c r="P224" s="1551"/>
      <c r="AH224" s="1558">
        <v>0</v>
      </c>
    </row>
    <row r="225" spans="1:34" s="1562" customFormat="1" ht="0.75" hidden="1" customHeight="1">
      <c r="A225" s="1706"/>
      <c r="B225" s="1706"/>
      <c r="C225" s="306" t="s">
        <v>1200</v>
      </c>
      <c r="D225" s="3053"/>
      <c r="E225" s="2852"/>
      <c r="F225" s="2991"/>
      <c r="G225" s="337"/>
      <c r="H225" s="1427"/>
      <c r="I225" s="588"/>
      <c r="J225" s="508"/>
      <c r="K225" s="1427"/>
      <c r="L225" s="152"/>
      <c r="M225" s="279"/>
      <c r="N225" s="272"/>
      <c r="O225" s="1551"/>
      <c r="P225" s="1551"/>
      <c r="AH225" s="1558">
        <v>0</v>
      </c>
    </row>
    <row r="226" spans="1:34" s="1562" customFormat="1" ht="18.75" hidden="1" customHeight="1">
      <c r="A226" s="1706" t="s">
        <v>285</v>
      </c>
      <c r="B226" s="1706" t="s">
        <v>286</v>
      </c>
      <c r="C226" s="306"/>
      <c r="D226" s="3053"/>
      <c r="E226" s="2852"/>
      <c r="F226" s="2991" t="str">
        <f>INDEX(PT_DIFFERENTIATION_VTAR,MATCH(A226,PT_DIFFERENTIATION_VTAR_ID,0))</f>
        <v>Тариф на подвоз воды</v>
      </c>
      <c r="G226" s="3028" t="str">
        <f>INDEX(PT_DIFFERENTIATION_NTAR,MATCH(B226,PT_DIFFERENTIATION_NTAR_ID,0))</f>
        <v/>
      </c>
      <c r="H226" s="1787"/>
      <c r="I226" s="1665"/>
      <c r="J226" s="1699"/>
      <c r="K226" s="1704"/>
      <c r="L226" s="1787" t="s">
        <v>351</v>
      </c>
      <c r="M226" s="279"/>
      <c r="N226" s="272"/>
      <c r="O226" s="1551"/>
      <c r="P226" s="1551"/>
      <c r="AH226" s="1558">
        <v>0</v>
      </c>
    </row>
    <row r="227" spans="1:34" s="1562" customFormat="1" ht="18.75" hidden="1" customHeight="1">
      <c r="A227" s="1706"/>
      <c r="B227" s="1706"/>
      <c r="C227" s="306" t="s">
        <v>1191</v>
      </c>
      <c r="D227" s="3053"/>
      <c r="E227" s="2852"/>
      <c r="F227" s="2991"/>
      <c r="G227" s="3028"/>
      <c r="H227" s="1427"/>
      <c r="I227" s="588" t="s">
        <v>1190</v>
      </c>
      <c r="J227" s="508"/>
      <c r="K227" s="1427"/>
      <c r="L227" s="152"/>
      <c r="M227" s="279"/>
      <c r="N227" s="272"/>
      <c r="O227" s="1551"/>
      <c r="P227" s="1551"/>
      <c r="AH227" s="1558">
        <v>0</v>
      </c>
    </row>
    <row r="228" spans="1:34" s="1562" customFormat="1" ht="0.75" hidden="1" customHeight="1">
      <c r="A228" s="1706"/>
      <c r="B228" s="1706"/>
      <c r="C228" s="306" t="s">
        <v>1200</v>
      </c>
      <c r="D228" s="3053"/>
      <c r="E228" s="2852"/>
      <c r="F228" s="2991"/>
      <c r="G228" s="337"/>
      <c r="H228" s="1427"/>
      <c r="I228" s="588"/>
      <c r="J228" s="508"/>
      <c r="K228" s="1427"/>
      <c r="L228" s="152"/>
      <c r="M228" s="279"/>
      <c r="N228" s="272"/>
      <c r="O228" s="1551"/>
      <c r="P228" s="1551"/>
      <c r="AH228" s="1558">
        <v>0</v>
      </c>
    </row>
    <row r="229" spans="1:34" s="1562" customFormat="1" ht="18.75" hidden="1" customHeight="1">
      <c r="A229" s="1706" t="s">
        <v>290</v>
      </c>
      <c r="B229" s="1706" t="s">
        <v>291</v>
      </c>
      <c r="C229" s="306"/>
      <c r="D229" s="3053"/>
      <c r="E229" s="2852"/>
      <c r="F229" s="2991" t="str">
        <f>INDEX(PT_DIFFERENTIATION_VTAR,MATCH(A229,PT_DIFFERENTIATION_VTAR_ID,0))</f>
        <v>Тариф на подключение (технологическое присоединение) к централизованной системе холодного водоснабжения</v>
      </c>
      <c r="G229" s="3028" t="str">
        <f>INDEX(PT_DIFFERENTIATION_NTAR,MATCH(B229,PT_DIFFERENTIATION_NTAR_ID,0))</f>
        <v/>
      </c>
      <c r="H229" s="1787"/>
      <c r="I229" s="1665"/>
      <c r="J229" s="1699"/>
      <c r="K229" s="1704"/>
      <c r="L229" s="1787" t="s">
        <v>351</v>
      </c>
      <c r="M229" s="279"/>
      <c r="N229" s="272"/>
      <c r="O229" s="1551"/>
      <c r="P229" s="1551"/>
      <c r="AH229" s="1558">
        <v>0</v>
      </c>
    </row>
    <row r="230" spans="1:34" s="1562" customFormat="1" ht="18.75" hidden="1" customHeight="1">
      <c r="A230" s="1706"/>
      <c r="B230" s="1706"/>
      <c r="C230" s="306" t="s">
        <v>1191</v>
      </c>
      <c r="D230" s="3053"/>
      <c r="E230" s="2852"/>
      <c r="F230" s="2991"/>
      <c r="G230" s="3028"/>
      <c r="H230" s="1427"/>
      <c r="I230" s="588" t="s">
        <v>1190</v>
      </c>
      <c r="J230" s="508"/>
      <c r="K230" s="1427"/>
      <c r="L230" s="152"/>
      <c r="M230" s="279"/>
      <c r="N230" s="272"/>
      <c r="O230" s="1551"/>
      <c r="P230" s="1551"/>
      <c r="AH230" s="1558">
        <v>0</v>
      </c>
    </row>
    <row r="231" spans="1:34" s="1562" customFormat="1" ht="0.75" hidden="1" customHeight="1">
      <c r="A231" s="1706"/>
      <c r="B231" s="1706"/>
      <c r="C231" s="306" t="s">
        <v>1200</v>
      </c>
      <c r="D231" s="3053"/>
      <c r="E231" s="2852"/>
      <c r="F231" s="2991"/>
      <c r="G231" s="337"/>
      <c r="H231" s="1427"/>
      <c r="I231" s="588"/>
      <c r="J231" s="508"/>
      <c r="K231" s="1427"/>
      <c r="L231" s="152"/>
      <c r="M231" s="279"/>
      <c r="N231" s="272"/>
      <c r="O231" s="1551"/>
      <c r="P231" s="1551"/>
      <c r="AH231" s="1558">
        <v>0</v>
      </c>
    </row>
    <row r="232" spans="1:34" s="1562" customFormat="1" ht="18.75" hidden="1" customHeight="1">
      <c r="A232" s="1706" t="s">
        <v>295</v>
      </c>
      <c r="B232" s="1706" t="s">
        <v>296</v>
      </c>
      <c r="C232" s="306"/>
      <c r="D232" s="3053"/>
      <c r="E232" s="2852"/>
      <c r="F232" s="2991" t="str">
        <f>INDEX(PT_DIFFERENTIATION_VTAR,MATCH(A232,PT_DIFFERENTIATION_VTAR_ID,0))</f>
        <v>Тариф на горячую воду (горячее водоснабжение)</v>
      </c>
      <c r="G232" s="3028" t="str">
        <f>INDEX(PT_DIFFERENTIATION_NTAR,MATCH(B232,PT_DIFFERENTIATION_NTAR_ID,0))</f>
        <v/>
      </c>
      <c r="H232" s="1787"/>
      <c r="I232" s="1665"/>
      <c r="J232" s="1699"/>
      <c r="K232" s="1704"/>
      <c r="L232" s="1787" t="s">
        <v>351</v>
      </c>
      <c r="M232" s="279"/>
      <c r="N232" s="272"/>
      <c r="O232" s="1551"/>
      <c r="P232" s="1551"/>
      <c r="AH232" s="1558">
        <v>0</v>
      </c>
    </row>
    <row r="233" spans="1:34" s="1562" customFormat="1" ht="18.75" hidden="1" customHeight="1">
      <c r="A233" s="1706"/>
      <c r="B233" s="1706"/>
      <c r="C233" s="306" t="s">
        <v>1191</v>
      </c>
      <c r="D233" s="3053"/>
      <c r="E233" s="2852"/>
      <c r="F233" s="2991"/>
      <c r="G233" s="3028"/>
      <c r="H233" s="1427"/>
      <c r="I233" s="588" t="s">
        <v>1190</v>
      </c>
      <c r="J233" s="508"/>
      <c r="K233" s="1427"/>
      <c r="L233" s="152"/>
      <c r="M233" s="279"/>
      <c r="N233" s="272"/>
      <c r="O233" s="1551"/>
      <c r="P233" s="1551"/>
      <c r="AH233" s="1558">
        <v>0</v>
      </c>
    </row>
    <row r="234" spans="1:34" s="1562" customFormat="1" ht="0.75" hidden="1" customHeight="1">
      <c r="A234" s="1706"/>
      <c r="B234" s="1706"/>
      <c r="C234" s="306" t="s">
        <v>1200</v>
      </c>
      <c r="D234" s="3053"/>
      <c r="E234" s="2852"/>
      <c r="F234" s="2991"/>
      <c r="G234" s="337"/>
      <c r="H234" s="1427"/>
      <c r="I234" s="588"/>
      <c r="J234" s="508"/>
      <c r="K234" s="1427"/>
      <c r="L234" s="152"/>
      <c r="M234" s="279"/>
      <c r="N234" s="272"/>
      <c r="O234" s="1551"/>
      <c r="P234" s="1551"/>
      <c r="AH234" s="1558">
        <v>0</v>
      </c>
    </row>
    <row r="235" spans="1:34" s="1562" customFormat="1" ht="18.75" hidden="1" customHeight="1">
      <c r="A235" s="1706" t="s">
        <v>300</v>
      </c>
      <c r="B235" s="1706" t="s">
        <v>301</v>
      </c>
      <c r="C235" s="306"/>
      <c r="D235" s="3053"/>
      <c r="E235" s="2852"/>
      <c r="F235" s="2991" t="str">
        <f>INDEX(PT_DIFFERENTIATION_VTAR,MATCH(A235,PT_DIFFERENTIATION_VTAR_ID,0))</f>
        <v>Тариф на транспортировку горячей воды</v>
      </c>
      <c r="G235" s="3028" t="str">
        <f>INDEX(PT_DIFFERENTIATION_NTAR,MATCH(B235,PT_DIFFERENTIATION_NTAR_ID,0))</f>
        <v/>
      </c>
      <c r="H235" s="1787"/>
      <c r="I235" s="1665"/>
      <c r="J235" s="1699"/>
      <c r="K235" s="1704"/>
      <c r="L235" s="1787" t="s">
        <v>351</v>
      </c>
      <c r="M235" s="279"/>
      <c r="N235" s="272"/>
      <c r="O235" s="1551"/>
      <c r="P235" s="1551"/>
      <c r="AH235" s="1558">
        <v>0</v>
      </c>
    </row>
    <row r="236" spans="1:34" s="1562" customFormat="1" ht="18.75" hidden="1" customHeight="1">
      <c r="A236" s="1706"/>
      <c r="B236" s="1706"/>
      <c r="C236" s="306" t="s">
        <v>1191</v>
      </c>
      <c r="D236" s="3053"/>
      <c r="E236" s="2852"/>
      <c r="F236" s="2991"/>
      <c r="G236" s="3028"/>
      <c r="H236" s="1427"/>
      <c r="I236" s="588" t="s">
        <v>1190</v>
      </c>
      <c r="J236" s="508"/>
      <c r="K236" s="1427"/>
      <c r="L236" s="152"/>
      <c r="M236" s="279"/>
      <c r="N236" s="272"/>
      <c r="O236" s="1551"/>
      <c r="P236" s="1551"/>
      <c r="AH236" s="1558">
        <v>0</v>
      </c>
    </row>
    <row r="237" spans="1:34" s="1562" customFormat="1" ht="0.75" hidden="1" customHeight="1">
      <c r="A237" s="1706"/>
      <c r="B237" s="1706"/>
      <c r="C237" s="306" t="s">
        <v>1200</v>
      </c>
      <c r="D237" s="3053"/>
      <c r="E237" s="2852"/>
      <c r="F237" s="2991"/>
      <c r="G237" s="337"/>
      <c r="H237" s="1427"/>
      <c r="I237" s="588"/>
      <c r="J237" s="508"/>
      <c r="K237" s="1427"/>
      <c r="L237" s="152"/>
      <c r="M237" s="279"/>
      <c r="N237" s="272"/>
      <c r="O237" s="1551"/>
      <c r="P237" s="1551"/>
      <c r="AH237" s="1558">
        <v>0</v>
      </c>
    </row>
    <row r="238" spans="1:34" s="1562" customFormat="1" ht="18.75" hidden="1" customHeight="1">
      <c r="A238" s="1706" t="s">
        <v>305</v>
      </c>
      <c r="B238" s="1706" t="s">
        <v>306</v>
      </c>
      <c r="C238" s="306"/>
      <c r="D238" s="3053"/>
      <c r="E238" s="2852"/>
      <c r="F238" s="2991" t="str">
        <f>INDEX(PT_DIFFERENTIATION_VTAR,MATCH(A238,PT_DIFFERENTIATION_VTAR_ID,0))</f>
        <v>Тариф на подключение (технологическое присоединение) к централизованной системе горячего водоснабжения</v>
      </c>
      <c r="G238" s="3028" t="str">
        <f>INDEX(PT_DIFFERENTIATION_NTAR,MATCH(B238,PT_DIFFERENTIATION_NTAR_ID,0))</f>
        <v/>
      </c>
      <c r="H238" s="1787"/>
      <c r="I238" s="1665"/>
      <c r="J238" s="1699"/>
      <c r="K238" s="1704"/>
      <c r="L238" s="1787" t="s">
        <v>351</v>
      </c>
      <c r="M238" s="279"/>
      <c r="N238" s="272"/>
      <c r="O238" s="1551"/>
      <c r="P238" s="1551"/>
      <c r="AH238" s="1558">
        <v>0</v>
      </c>
    </row>
    <row r="239" spans="1:34" s="1562" customFormat="1" ht="18.75" hidden="1" customHeight="1">
      <c r="A239" s="1706"/>
      <c r="B239" s="1706"/>
      <c r="C239" s="306" t="s">
        <v>1191</v>
      </c>
      <c r="D239" s="3053"/>
      <c r="E239" s="2852"/>
      <c r="F239" s="2991"/>
      <c r="G239" s="3028"/>
      <c r="H239" s="1427"/>
      <c r="I239" s="588" t="s">
        <v>1190</v>
      </c>
      <c r="J239" s="508"/>
      <c r="K239" s="1427"/>
      <c r="L239" s="152"/>
      <c r="M239" s="279"/>
      <c r="N239" s="272"/>
      <c r="O239" s="1551"/>
      <c r="P239" s="1551"/>
      <c r="AH239" s="1558">
        <v>0</v>
      </c>
    </row>
    <row r="240" spans="1:34" s="1562" customFormat="1" ht="0.75" hidden="1" customHeight="1">
      <c r="A240" s="1706"/>
      <c r="B240" s="1706"/>
      <c r="C240" s="306" t="s">
        <v>1200</v>
      </c>
      <c r="D240" s="3053"/>
      <c r="E240" s="2852"/>
      <c r="F240" s="2991"/>
      <c r="G240" s="337"/>
      <c r="H240" s="1427"/>
      <c r="I240" s="588"/>
      <c r="J240" s="508"/>
      <c r="K240" s="1427"/>
      <c r="L240" s="152"/>
      <c r="M240" s="279"/>
      <c r="N240" s="272"/>
      <c r="O240" s="1551"/>
      <c r="P240" s="1551"/>
      <c r="AH240" s="1558">
        <v>0</v>
      </c>
    </row>
    <row r="241" spans="1:34" s="1562" customFormat="1" ht="18.75" hidden="1" customHeight="1">
      <c r="A241" s="1706" t="s">
        <v>310</v>
      </c>
      <c r="B241" s="1706" t="s">
        <v>311</v>
      </c>
      <c r="C241" s="306"/>
      <c r="D241" s="3053"/>
      <c r="E241" s="2852"/>
      <c r="F241" s="2991" t="str">
        <f>INDEX(PT_DIFFERENTIATION_VTAR,MATCH(A241,PT_DIFFERENTIATION_VTAR_ID,0))</f>
        <v>Тариф на водоотведение</v>
      </c>
      <c r="G241" s="3028" t="str">
        <f>INDEX(PT_DIFFERENTIATION_NTAR,MATCH(B241,PT_DIFFERENTIATION_NTAR_ID,0))</f>
        <v/>
      </c>
      <c r="H241" s="1787"/>
      <c r="I241" s="1665"/>
      <c r="J241" s="1699"/>
      <c r="K241" s="1704"/>
      <c r="L241" s="1787" t="s">
        <v>351</v>
      </c>
      <c r="M241" s="279"/>
      <c r="N241" s="272"/>
      <c r="O241" s="1551"/>
      <c r="P241" s="1551"/>
      <c r="AH241" s="1558">
        <v>0</v>
      </c>
    </row>
    <row r="242" spans="1:34" s="1562" customFormat="1" ht="18.75" hidden="1" customHeight="1">
      <c r="A242" s="1706"/>
      <c r="B242" s="1706"/>
      <c r="C242" s="306" t="s">
        <v>1191</v>
      </c>
      <c r="D242" s="3053"/>
      <c r="E242" s="2852"/>
      <c r="F242" s="2991"/>
      <c r="G242" s="3028"/>
      <c r="H242" s="1427"/>
      <c r="I242" s="588" t="s">
        <v>1190</v>
      </c>
      <c r="J242" s="508"/>
      <c r="K242" s="1427"/>
      <c r="L242" s="152"/>
      <c r="M242" s="279"/>
      <c r="N242" s="272"/>
      <c r="O242" s="1551"/>
      <c r="P242" s="1551"/>
      <c r="AH242" s="1558">
        <v>0</v>
      </c>
    </row>
    <row r="243" spans="1:34" s="1562" customFormat="1" ht="0.75" hidden="1" customHeight="1">
      <c r="A243" s="1706"/>
      <c r="B243" s="1706"/>
      <c r="C243" s="306" t="s">
        <v>1200</v>
      </c>
      <c r="D243" s="3053"/>
      <c r="E243" s="2852"/>
      <c r="F243" s="2991"/>
      <c r="G243" s="337"/>
      <c r="H243" s="1427"/>
      <c r="I243" s="588"/>
      <c r="J243" s="508"/>
      <c r="K243" s="1427"/>
      <c r="L243" s="152"/>
      <c r="M243" s="279"/>
      <c r="N243" s="272"/>
      <c r="O243" s="1551"/>
      <c r="P243" s="1551"/>
      <c r="AH243" s="1558">
        <v>0</v>
      </c>
    </row>
    <row r="244" spans="1:34" s="1562" customFormat="1" ht="18.75" hidden="1" customHeight="1">
      <c r="A244" s="1706" t="s">
        <v>315</v>
      </c>
      <c r="B244" s="1706" t="s">
        <v>316</v>
      </c>
      <c r="C244" s="306"/>
      <c r="D244" s="3053"/>
      <c r="E244" s="2852"/>
      <c r="F244" s="2991" t="str">
        <f>INDEX(PT_DIFFERENTIATION_VTAR,MATCH(A244,PT_DIFFERENTIATION_VTAR_ID,0))</f>
        <v>Тариф на транспортировку сточных вод</v>
      </c>
      <c r="G244" s="3028" t="str">
        <f>INDEX(PT_DIFFERENTIATION_NTAR,MATCH(B244,PT_DIFFERENTIATION_NTAR_ID,0))</f>
        <v/>
      </c>
      <c r="H244" s="1787"/>
      <c r="I244" s="1665"/>
      <c r="J244" s="1699"/>
      <c r="K244" s="1704"/>
      <c r="L244" s="1787" t="s">
        <v>351</v>
      </c>
      <c r="M244" s="279"/>
      <c r="N244" s="272"/>
      <c r="O244" s="1551"/>
      <c r="P244" s="1551"/>
      <c r="AH244" s="1558">
        <v>0</v>
      </c>
    </row>
    <row r="245" spans="1:34" s="1562" customFormat="1" ht="18.75" hidden="1" customHeight="1">
      <c r="A245" s="1706"/>
      <c r="B245" s="1706"/>
      <c r="C245" s="306" t="s">
        <v>1191</v>
      </c>
      <c r="D245" s="3053"/>
      <c r="E245" s="2852"/>
      <c r="F245" s="2991"/>
      <c r="G245" s="3028"/>
      <c r="H245" s="1427"/>
      <c r="I245" s="588" t="s">
        <v>1190</v>
      </c>
      <c r="J245" s="508"/>
      <c r="K245" s="1427"/>
      <c r="L245" s="152"/>
      <c r="M245" s="279"/>
      <c r="N245" s="272"/>
      <c r="O245" s="1551"/>
      <c r="P245" s="1551"/>
      <c r="AH245" s="1558">
        <v>0</v>
      </c>
    </row>
    <row r="246" spans="1:34" s="1562" customFormat="1" ht="0.75" hidden="1" customHeight="1">
      <c r="A246" s="1706"/>
      <c r="B246" s="1706"/>
      <c r="C246" s="306" t="s">
        <v>1200</v>
      </c>
      <c r="D246" s="3053"/>
      <c r="E246" s="2852"/>
      <c r="F246" s="2991"/>
      <c r="G246" s="337"/>
      <c r="H246" s="1427"/>
      <c r="I246" s="588"/>
      <c r="J246" s="508"/>
      <c r="K246" s="1427"/>
      <c r="L246" s="152"/>
      <c r="M246" s="279"/>
      <c r="N246" s="272"/>
      <c r="O246" s="1551"/>
      <c r="P246" s="1551"/>
      <c r="AH246" s="1558">
        <v>0</v>
      </c>
    </row>
    <row r="247" spans="1:34" s="1562" customFormat="1" ht="18.75" hidden="1" customHeight="1">
      <c r="A247" s="1706" t="s">
        <v>320</v>
      </c>
      <c r="B247" s="1706" t="s">
        <v>321</v>
      </c>
      <c r="C247" s="306"/>
      <c r="D247" s="3053"/>
      <c r="E247" s="2852"/>
      <c r="F247" s="2991" t="str">
        <f>INDEX(PT_DIFFERENTIATION_VTAR,MATCH(A247,PT_DIFFERENTIATION_VTAR_ID,0))</f>
        <v>Тариф на подключение (технологическое присоединение) к централизованной системе водоотведения</v>
      </c>
      <c r="G247" s="3028" t="str">
        <f>INDEX(PT_DIFFERENTIATION_NTAR,MATCH(B247,PT_DIFFERENTIATION_NTAR_ID,0))</f>
        <v/>
      </c>
      <c r="H247" s="1787"/>
      <c r="I247" s="1665"/>
      <c r="J247" s="1699"/>
      <c r="K247" s="1704"/>
      <c r="L247" s="1787" t="s">
        <v>351</v>
      </c>
      <c r="M247" s="279"/>
      <c r="N247" s="272"/>
      <c r="O247" s="1551"/>
      <c r="P247" s="1551"/>
      <c r="AH247" s="1558">
        <v>0</v>
      </c>
    </row>
    <row r="248" spans="1:34" s="1562" customFormat="1" ht="18.75" hidden="1" customHeight="1">
      <c r="A248" s="1706"/>
      <c r="B248" s="1706"/>
      <c r="C248" s="306" t="s">
        <v>1191</v>
      </c>
      <c r="D248" s="3053"/>
      <c r="E248" s="2852"/>
      <c r="F248" s="2991"/>
      <c r="G248" s="3028"/>
      <c r="H248" s="1427"/>
      <c r="I248" s="588" t="s">
        <v>1190</v>
      </c>
      <c r="J248" s="508"/>
      <c r="K248" s="1427"/>
      <c r="L248" s="152"/>
      <c r="M248" s="279"/>
      <c r="N248" s="272"/>
      <c r="O248" s="1551"/>
      <c r="P248" s="1551"/>
      <c r="AH248" s="1558">
        <v>0</v>
      </c>
    </row>
    <row r="249" spans="1:34" s="1562" customFormat="1" ht="0.75" customHeight="1">
      <c r="A249" s="1706"/>
      <c r="B249" s="1706"/>
      <c r="C249" s="306" t="s">
        <v>1200</v>
      </c>
      <c r="D249" s="3053"/>
      <c r="E249" s="2852"/>
      <c r="F249" s="2991"/>
      <c r="G249" s="337"/>
      <c r="H249" s="1427"/>
      <c r="I249" s="588"/>
      <c r="J249" s="508"/>
      <c r="K249" s="1427"/>
      <c r="L249" s="152"/>
      <c r="M249" s="279"/>
      <c r="N249" s="272"/>
      <c r="O249" s="1551"/>
      <c r="P249" s="1551"/>
      <c r="AH249" s="1558">
        <v>1</v>
      </c>
    </row>
    <row r="250" spans="1:34" ht="27" customHeight="1">
      <c r="A250" s="1706"/>
      <c r="B250" s="1706"/>
      <c r="D250" s="313"/>
      <c r="E250" s="85" t="s">
        <v>116</v>
      </c>
      <c r="F250" s="3052" t="str">
        <f>IF(TEMPLATE_SPHERE="HEAT","Размер недополученных доходов регулируемой организацией (при их наличии), исчисленный в соответствии с Основами ценообразования в сфере теплоснабжения,"&amp;" утвержденными постановлением Правительства Российской Федерации от 22 октября 2012 г. N 1075 ""О ценообразовании в сфере теплоснабжения""","Размер недополученных доходов организации холодного водоснабжения (при их наличии), исчисленных в соответствии с Основами ценообразования в сфере водоснабжения и водоотведения")</f>
        <v>Размер недополученных доходов регулируемой организацией (при их наличии), исчисленный в соответствии с Основами ценообразования в сфере теплоснабжения, утвержденными постановлением Правительства Российской Федерации от 22 октября 2012 г. N 1075 "О ценообразовании в сфере теплоснабжения"</v>
      </c>
      <c r="G250" s="3052"/>
      <c r="H250" s="3052"/>
      <c r="I250" s="3052"/>
      <c r="J250" s="3052"/>
      <c r="K250" s="3052"/>
      <c r="L250" s="3052"/>
      <c r="M250" s="235"/>
      <c r="N250" s="272"/>
      <c r="AH250" s="311">
        <v>26</v>
      </c>
    </row>
    <row r="251" spans="1:34" s="1562" customFormat="1" ht="60.75" hidden="1" customHeight="1">
      <c r="A251" s="1706" t="s">
        <v>160</v>
      </c>
      <c r="B251" s="1706" t="s">
        <v>161</v>
      </c>
      <c r="C251" s="306"/>
      <c r="D251" s="3053"/>
      <c r="E251" s="2852"/>
      <c r="F251" s="2991" t="str">
        <f>INDEX(PT_DIFFERENTIATION_VTAR,MATCH(A251,PT_DIFFERENTIATION_VTAR_ID,0))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251" s="3028" t="str">
        <f>INDEX(PT_DIFFERENTIATION_NTAR,MATCH(B251,PT_DIFFERENTIATION_NTAR_ID,0))</f>
        <v/>
      </c>
      <c r="H251" s="1787"/>
      <c r="I251" s="1665"/>
      <c r="J251" s="1699"/>
      <c r="K251" s="1704"/>
      <c r="L251" s="1787" t="s">
        <v>351</v>
      </c>
      <c r="M251" s="28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"&amp;IF(TEMPLATE_SPHERE="HEAT","регулируемой организацией",TEMPLATE_SPHERE_RUS)&amp;", исчисленных в соответствии с законодательством в сфере "&amp;IF(TEMPLATE_SPHERE="HEAT","теплоснабжения","водоснабжения и водоотведения")&amp;", указывается значение «0».
В случае дифференциации недополученных доходов организацией "&amp;TEMPLATE_SPHERE_RUS&amp;"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организацией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организацией теплоснабжения по видам тарифов и/или по срокам действия тарифов информация указывается в отдельных строках.</v>
      </c>
      <c r="N251" s="272"/>
      <c r="O251" s="1551"/>
      <c r="P251" s="1551"/>
      <c r="AH251" s="1558">
        <v>0</v>
      </c>
    </row>
    <row r="252" spans="1:34" s="1562" customFormat="1" ht="18.75" hidden="1" customHeight="1">
      <c r="A252" s="1706"/>
      <c r="B252" s="1706"/>
      <c r="C252" s="306" t="s">
        <v>1191</v>
      </c>
      <c r="D252" s="3053"/>
      <c r="E252" s="2852"/>
      <c r="F252" s="2991"/>
      <c r="G252" s="3028"/>
      <c r="H252" s="1427"/>
      <c r="I252" s="588" t="s">
        <v>1190</v>
      </c>
      <c r="J252" s="508"/>
      <c r="K252" s="1427"/>
      <c r="L252" s="152"/>
      <c r="M252" s="2803"/>
      <c r="N252" s="272"/>
      <c r="O252" s="1551"/>
      <c r="P252" s="1551"/>
      <c r="AH252" s="1558">
        <v>0</v>
      </c>
    </row>
    <row r="253" spans="1:34" s="1562" customFormat="1" ht="0.75" hidden="1" customHeight="1">
      <c r="A253" s="1706"/>
      <c r="B253" s="1706"/>
      <c r="C253" s="306" t="s">
        <v>1200</v>
      </c>
      <c r="D253" s="3053"/>
      <c r="E253" s="2852"/>
      <c r="F253" s="2991"/>
      <c r="G253" s="337"/>
      <c r="H253" s="1427"/>
      <c r="I253" s="588"/>
      <c r="J253" s="508"/>
      <c r="K253" s="1427"/>
      <c r="L253" s="152"/>
      <c r="M253" s="2803"/>
      <c r="N253" s="272"/>
      <c r="O253" s="1551"/>
      <c r="P253" s="1551"/>
      <c r="AH253" s="1558">
        <v>0</v>
      </c>
    </row>
    <row r="254" spans="1:34" s="1562" customFormat="1" ht="118.5" customHeight="1">
      <c r="A254" s="1706" t="s">
        <v>168</v>
      </c>
      <c r="B254" s="1706" t="s">
        <v>169</v>
      </c>
      <c r="C254" s="306"/>
      <c r="D254" s="3053"/>
      <c r="E254" s="2852"/>
      <c r="F254" s="2991" t="str">
        <f>INDEX(PT_DIFFERENTIATION_VTAR,MATCH(A254,PT_DIFFERENTIATION_VTAR_ID,0))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254" s="3028" t="str">
        <f>INDEX(PT_DIFFERENTIATION_NTAR,MATCH(B254,PT_DIFFERENTIATION_NTAR_ID,0))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H254" s="1787"/>
      <c r="I254" s="1665" t="s">
        <v>22</v>
      </c>
      <c r="J254" s="1699" t="s">
        <v>26</v>
      </c>
      <c r="K254" s="1704">
        <v>5080.335</v>
      </c>
      <c r="L254" s="1787" t="s">
        <v>351</v>
      </c>
      <c r="M254" s="2804"/>
      <c r="N254" s="272"/>
      <c r="O254" s="1551"/>
      <c r="P254" s="1551"/>
      <c r="AH254" s="1558">
        <v>0</v>
      </c>
    </row>
    <row r="255" spans="1:34" s="1562" customFormat="1" ht="21" customHeight="1">
      <c r="A255" s="1706"/>
      <c r="B255" s="1706"/>
      <c r="C255" s="306" t="s">
        <v>1191</v>
      </c>
      <c r="D255" s="3053"/>
      <c r="E255" s="2852"/>
      <c r="F255" s="2991"/>
      <c r="G255" s="3028"/>
      <c r="H255" s="1427"/>
      <c r="I255" s="588" t="s">
        <v>1190</v>
      </c>
      <c r="J255" s="508"/>
      <c r="K255" s="1427"/>
      <c r="L255" s="152"/>
      <c r="M255" s="1786"/>
      <c r="N255" s="272"/>
      <c r="O255" s="1551"/>
      <c r="P255" s="1551"/>
      <c r="AH255" s="1558">
        <v>0</v>
      </c>
    </row>
    <row r="256" spans="1:34" s="1562" customFormat="1" ht="18.75" customHeight="1">
      <c r="A256" s="1748" t="s">
        <v>168</v>
      </c>
      <c r="B256" s="1748" t="s">
        <v>180</v>
      </c>
      <c r="C256" s="1614"/>
      <c r="D256" s="3054"/>
      <c r="E256" s="3055"/>
      <c r="F256" s="3055"/>
      <c r="G256" s="3028" t="str">
        <f>INDEX(PT_DIFFERENTIATION_NTAR,MATCH(B256,PT_DIFFERENTIATION_NTAR_ID,0))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H256" s="2002"/>
      <c r="I256" s="1665" t="s">
        <v>22</v>
      </c>
      <c r="J256" s="1699" t="s">
        <v>26</v>
      </c>
      <c r="K256" s="1704">
        <v>288.56</v>
      </c>
      <c r="L256" s="2002" t="s">
        <v>351</v>
      </c>
      <c r="M256" s="2005"/>
      <c r="N256" s="555"/>
      <c r="O256" s="1551"/>
      <c r="P256" s="1551"/>
      <c r="AH256" s="1562">
        <v>0</v>
      </c>
    </row>
    <row r="257" spans="1:34" s="1562" customFormat="1" ht="44.25" customHeight="1">
      <c r="A257" s="1748"/>
      <c r="B257" s="1748"/>
      <c r="C257" s="1614" t="s">
        <v>1191</v>
      </c>
      <c r="D257" s="3054"/>
      <c r="E257" s="3055"/>
      <c r="F257" s="3055"/>
      <c r="G257" s="3028"/>
      <c r="H257" s="2652"/>
      <c r="I257" s="2653" t="s">
        <v>1190</v>
      </c>
      <c r="J257" s="2654"/>
      <c r="K257" s="2655"/>
      <c r="L257" s="2656"/>
      <c r="M257" s="2005"/>
      <c r="N257" s="555"/>
      <c r="O257" s="1551"/>
      <c r="P257" s="1551"/>
      <c r="AH257" s="1562">
        <v>0</v>
      </c>
    </row>
    <row r="258" spans="1:34" s="1562" customFormat="1" ht="18.75" customHeight="1">
      <c r="A258" s="1748" t="s">
        <v>168</v>
      </c>
      <c r="B258" s="1748" t="s">
        <v>184</v>
      </c>
      <c r="C258" s="1614"/>
      <c r="D258" s="3054"/>
      <c r="E258" s="3055"/>
      <c r="F258" s="3055"/>
      <c r="G258" s="3028" t="str">
        <f>INDEX(PT_DIFFERENTIATION_NTAR,MATCH(B258,PT_DIFFERENTIATION_NTAR_ID,0))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H258" s="2002"/>
      <c r="I258" s="1665" t="s">
        <v>22</v>
      </c>
      <c r="J258" s="1699" t="s">
        <v>26</v>
      </c>
      <c r="K258" s="1704">
        <v>802.91</v>
      </c>
      <c r="L258" s="2002" t="s">
        <v>351</v>
      </c>
      <c r="M258" s="2005"/>
      <c r="N258" s="555"/>
      <c r="O258" s="1551"/>
      <c r="P258" s="1551"/>
      <c r="AH258" s="1562">
        <v>0</v>
      </c>
    </row>
    <row r="259" spans="1:34" s="1562" customFormat="1" ht="43.5" customHeight="1">
      <c r="A259" s="1748"/>
      <c r="B259" s="1748"/>
      <c r="C259" s="1614" t="s">
        <v>1191</v>
      </c>
      <c r="D259" s="3054"/>
      <c r="E259" s="3055"/>
      <c r="F259" s="3055"/>
      <c r="G259" s="3028"/>
      <c r="H259" s="2657"/>
      <c r="I259" s="2658" t="s">
        <v>1190</v>
      </c>
      <c r="J259" s="2659"/>
      <c r="K259" s="2660"/>
      <c r="L259" s="2661"/>
      <c r="M259" s="2005"/>
      <c r="N259" s="555"/>
      <c r="O259" s="1551"/>
      <c r="P259" s="1551"/>
      <c r="AH259" s="1562">
        <v>0</v>
      </c>
    </row>
    <row r="260" spans="1:34" s="1562" customFormat="1" ht="18.75" customHeight="1">
      <c r="A260" s="1748" t="s">
        <v>168</v>
      </c>
      <c r="B260" s="1748" t="s">
        <v>188</v>
      </c>
      <c r="C260" s="1614"/>
      <c r="D260" s="3054"/>
      <c r="E260" s="3055"/>
      <c r="F260" s="3055"/>
      <c r="G260" s="3028" t="str">
        <f>INDEX(PT_DIFFERENTIATION_NTAR,MATCH(B260,PT_DIFFERENTIATION_NTAR_ID,0))</f>
        <v>Тарифы на тепловую энергию, поставляемую потребителям г. Тюмени от котельной, расположенной по адресу: г.Тюмень, ул. Луначарского, 18, строение 1 (Котельная № 7)</v>
      </c>
      <c r="H260" s="2002"/>
      <c r="I260" s="1665" t="s">
        <v>22</v>
      </c>
      <c r="J260" s="1699" t="s">
        <v>26</v>
      </c>
      <c r="K260" s="1704">
        <v>585.88</v>
      </c>
      <c r="L260" s="2002" t="s">
        <v>351</v>
      </c>
      <c r="M260" s="2005"/>
      <c r="N260" s="555"/>
      <c r="O260" s="1551"/>
      <c r="P260" s="1551"/>
      <c r="AH260" s="1562">
        <v>0</v>
      </c>
    </row>
    <row r="261" spans="1:34" s="1562" customFormat="1" ht="48" customHeight="1">
      <c r="A261" s="1748"/>
      <c r="B261" s="1748"/>
      <c r="C261" s="1614" t="s">
        <v>1191</v>
      </c>
      <c r="D261" s="3054"/>
      <c r="E261" s="3055"/>
      <c r="F261" s="3055"/>
      <c r="G261" s="3028"/>
      <c r="H261" s="2662"/>
      <c r="I261" s="2663" t="s">
        <v>1190</v>
      </c>
      <c r="J261" s="2664"/>
      <c r="K261" s="2665"/>
      <c r="L261" s="2666"/>
      <c r="M261" s="2005"/>
      <c r="N261" s="555"/>
      <c r="O261" s="1551"/>
      <c r="P261" s="1551"/>
      <c r="AH261" s="1562">
        <v>0</v>
      </c>
    </row>
    <row r="262" spans="1:34" s="1562" customFormat="1" ht="18.75" customHeight="1">
      <c r="A262" s="1748" t="s">
        <v>168</v>
      </c>
      <c r="B262" s="1748" t="s">
        <v>193</v>
      </c>
      <c r="C262" s="1614"/>
      <c r="D262" s="3054"/>
      <c r="E262" s="3055"/>
      <c r="F262" s="3055"/>
      <c r="G262" s="3028" t="str">
        <f>INDEX(PT_DIFFERENTIATION_NTAR,MATCH(B262,PT_DIFFERENTIATION_NTAR_ID,0))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H262" s="2002"/>
      <c r="I262" s="1665" t="s">
        <v>22</v>
      </c>
      <c r="J262" s="1699" t="s">
        <v>26</v>
      </c>
      <c r="K262" s="1704">
        <v>70.11</v>
      </c>
      <c r="L262" s="2002" t="s">
        <v>351</v>
      </c>
      <c r="M262" s="2005"/>
      <c r="N262" s="555"/>
      <c r="O262" s="1551"/>
      <c r="P262" s="1551"/>
      <c r="AH262" s="1562">
        <v>0</v>
      </c>
    </row>
    <row r="263" spans="1:34" s="1562" customFormat="1" ht="43.5" customHeight="1">
      <c r="A263" s="1748"/>
      <c r="B263" s="1748"/>
      <c r="C263" s="1614" t="s">
        <v>1191</v>
      </c>
      <c r="D263" s="3054"/>
      <c r="E263" s="3055"/>
      <c r="F263" s="3055"/>
      <c r="G263" s="3028"/>
      <c r="H263" s="2667"/>
      <c r="I263" s="2668" t="s">
        <v>1190</v>
      </c>
      <c r="J263" s="2669"/>
      <c r="K263" s="2670"/>
      <c r="L263" s="2671"/>
      <c r="M263" s="2005"/>
      <c r="N263" s="555"/>
      <c r="O263" s="1551"/>
      <c r="P263" s="1551"/>
      <c r="AH263" s="1562">
        <v>0</v>
      </c>
    </row>
    <row r="264" spans="1:34" s="1562" customFormat="1" ht="18.75" customHeight="1">
      <c r="A264" s="1748" t="s">
        <v>168</v>
      </c>
      <c r="B264" s="1748" t="s">
        <v>198</v>
      </c>
      <c r="C264" s="1614"/>
      <c r="D264" s="3054"/>
      <c r="E264" s="3055"/>
      <c r="F264" s="3055"/>
      <c r="G264" s="3028" t="str">
        <f>INDEX(PT_DIFFERENTIATION_NTAR,MATCH(B264,PT_DIFFERENTIATION_NTAR_ID,0))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H264" s="2002"/>
      <c r="I264" s="1665" t="s">
        <v>22</v>
      </c>
      <c r="J264" s="1699" t="s">
        <v>26</v>
      </c>
      <c r="K264" s="1704">
        <v>2538.3629999999998</v>
      </c>
      <c r="L264" s="2002" t="s">
        <v>351</v>
      </c>
      <c r="M264" s="2005"/>
      <c r="N264" s="555"/>
      <c r="O264" s="1551"/>
      <c r="P264" s="1551"/>
      <c r="AH264" s="1562">
        <v>0</v>
      </c>
    </row>
    <row r="265" spans="1:34" s="1562" customFormat="1" ht="63" customHeight="1">
      <c r="A265" s="1748"/>
      <c r="B265" s="1748"/>
      <c r="C265" s="1614" t="s">
        <v>1191</v>
      </c>
      <c r="D265" s="3054"/>
      <c r="E265" s="3055"/>
      <c r="F265" s="3055"/>
      <c r="G265" s="3028"/>
      <c r="H265" s="2672"/>
      <c r="I265" s="2673" t="s">
        <v>1190</v>
      </c>
      <c r="J265" s="2674"/>
      <c r="K265" s="2675"/>
      <c r="L265" s="2676"/>
      <c r="M265" s="2005"/>
      <c r="N265" s="555"/>
      <c r="O265" s="1551"/>
      <c r="P265" s="1551"/>
      <c r="AH265" s="1562">
        <v>0</v>
      </c>
    </row>
    <row r="266" spans="1:34" s="1562" customFormat="1" ht="18.75" customHeight="1">
      <c r="A266" s="1748" t="s">
        <v>168</v>
      </c>
      <c r="B266" s="1748" t="s">
        <v>203</v>
      </c>
      <c r="C266" s="1614"/>
      <c r="D266" s="3054"/>
      <c r="E266" s="3055"/>
      <c r="F266" s="3055"/>
      <c r="G266" s="3028" t="str">
        <f>INDEX(PT_DIFFERENTIATION_NTAR,MATCH(B266,PT_DIFFERENTIATION_NTAR_ID,0))</f>
        <v>Тарифы на тепловую энергию, поставляемую потребителям г. Тюмени от котельной, расположенной по адресу: г.Тюмень, ул. Сказочная, 26, строение 2 (Котельная № 14)</v>
      </c>
      <c r="H266" s="2002"/>
      <c r="I266" s="1665" t="s">
        <v>22</v>
      </c>
      <c r="J266" s="1699" t="s">
        <v>26</v>
      </c>
      <c r="K266" s="1704">
        <v>3379.192</v>
      </c>
      <c r="L266" s="2002" t="s">
        <v>351</v>
      </c>
      <c r="M266" s="2005"/>
      <c r="N266" s="555"/>
      <c r="O266" s="1551"/>
      <c r="P266" s="1551"/>
      <c r="AH266" s="1562">
        <v>0</v>
      </c>
    </row>
    <row r="267" spans="1:34" s="1562" customFormat="1" ht="48" customHeight="1">
      <c r="A267" s="1748"/>
      <c r="B267" s="1748"/>
      <c r="C267" s="1614" t="s">
        <v>1191</v>
      </c>
      <c r="D267" s="3054"/>
      <c r="E267" s="3055"/>
      <c r="F267" s="3055"/>
      <c r="G267" s="3028"/>
      <c r="H267" s="2677"/>
      <c r="I267" s="2678" t="s">
        <v>1190</v>
      </c>
      <c r="J267" s="2679"/>
      <c r="K267" s="2680"/>
      <c r="L267" s="2681"/>
      <c r="M267" s="2005"/>
      <c r="N267" s="555"/>
      <c r="O267" s="1551"/>
      <c r="P267" s="1551"/>
      <c r="AH267" s="1562">
        <v>0</v>
      </c>
    </row>
    <row r="268" spans="1:34" s="1562" customFormat="1" ht="18.75" customHeight="1">
      <c r="A268" s="1748" t="s">
        <v>168</v>
      </c>
      <c r="B268" s="1748" t="s">
        <v>208</v>
      </c>
      <c r="C268" s="1614"/>
      <c r="D268" s="3054"/>
      <c r="E268" s="3055"/>
      <c r="F268" s="3055"/>
      <c r="G268" s="3028" t="str">
        <f>INDEX(PT_DIFFERENTIATION_NTAR,MATCH(B268,PT_DIFFERENTIATION_NTAR_ID,0))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H268" s="2002"/>
      <c r="I268" s="1665" t="s">
        <v>22</v>
      </c>
      <c r="J268" s="1699" t="s">
        <v>26</v>
      </c>
      <c r="K268" s="1704">
        <v>4361.3670000000002</v>
      </c>
      <c r="L268" s="2002" t="s">
        <v>351</v>
      </c>
      <c r="M268" s="2005"/>
      <c r="N268" s="555"/>
      <c r="O268" s="1551"/>
      <c r="P268" s="1551"/>
      <c r="AH268" s="1562">
        <v>0</v>
      </c>
    </row>
    <row r="269" spans="1:34" s="1562" customFormat="1" ht="46.5" customHeight="1">
      <c r="A269" s="1748"/>
      <c r="B269" s="1748"/>
      <c r="C269" s="1614" t="s">
        <v>1191</v>
      </c>
      <c r="D269" s="3054"/>
      <c r="E269" s="3055"/>
      <c r="F269" s="3055"/>
      <c r="G269" s="3028"/>
      <c r="H269" s="2682"/>
      <c r="I269" s="2683" t="s">
        <v>1190</v>
      </c>
      <c r="J269" s="2684"/>
      <c r="K269" s="2685"/>
      <c r="L269" s="2686"/>
      <c r="M269" s="2005"/>
      <c r="N269" s="555"/>
      <c r="O269" s="1551"/>
      <c r="P269" s="1551"/>
      <c r="AH269" s="1562">
        <v>0</v>
      </c>
    </row>
    <row r="270" spans="1:34" s="1562" customFormat="1" ht="0.75" customHeight="1">
      <c r="A270" s="1706"/>
      <c r="B270" s="1706"/>
      <c r="C270" s="306" t="s">
        <v>1200</v>
      </c>
      <c r="D270" s="3053"/>
      <c r="E270" s="2852"/>
      <c r="F270" s="2991"/>
      <c r="G270" s="337"/>
      <c r="H270" s="1427"/>
      <c r="I270" s="588"/>
      <c r="J270" s="508"/>
      <c r="K270" s="1427"/>
      <c r="L270" s="152"/>
      <c r="M270" s="279"/>
      <c r="N270" s="272"/>
      <c r="O270" s="1551"/>
      <c r="P270" s="1551"/>
      <c r="AH270" s="1558">
        <v>0</v>
      </c>
    </row>
    <row r="271" spans="1:34" s="1562" customFormat="1" ht="45" hidden="1" customHeight="1">
      <c r="A271" s="1706" t="s">
        <v>214</v>
      </c>
      <c r="B271" s="1706" t="s">
        <v>215</v>
      </c>
      <c r="C271" s="306"/>
      <c r="D271" s="3053"/>
      <c r="E271" s="2852"/>
      <c r="F271" s="2991" t="str">
        <f>INDEX(PT_DIFFERENTIATION_VTAR,MATCH(A271,PT_DIFFERENTIATION_VTAR_ID,0))</f>
        <v>Тарифы на теплоноситель, поставляемый теплоснабжающими организациями потребителям, другим теплоснабжающим организациям</v>
      </c>
      <c r="G271" s="3028" t="str">
        <f>INDEX(PT_DIFFERENTIATION_NTAR,MATCH(B271,PT_DIFFERENTIATION_NTAR_ID,0))</f>
        <v/>
      </c>
      <c r="H271" s="1787"/>
      <c r="I271" s="1665"/>
      <c r="J271" s="1699"/>
      <c r="K271" s="1704"/>
      <c r="L271" s="1787" t="s">
        <v>351</v>
      </c>
      <c r="M271" s="279"/>
      <c r="N271" s="272"/>
      <c r="O271" s="1551"/>
      <c r="P271" s="1551"/>
      <c r="AH271" s="1558">
        <v>0</v>
      </c>
    </row>
    <row r="272" spans="1:34" s="1562" customFormat="1" ht="18.75" hidden="1" customHeight="1">
      <c r="A272" s="1706"/>
      <c r="B272" s="1706"/>
      <c r="C272" s="306" t="s">
        <v>1191</v>
      </c>
      <c r="D272" s="3053"/>
      <c r="E272" s="2852"/>
      <c r="F272" s="2991"/>
      <c r="G272" s="3028"/>
      <c r="H272" s="1427"/>
      <c r="I272" s="588" t="s">
        <v>1190</v>
      </c>
      <c r="J272" s="508"/>
      <c r="K272" s="1427"/>
      <c r="L272" s="152"/>
      <c r="M272" s="279"/>
      <c r="N272" s="272"/>
      <c r="O272" s="1551"/>
      <c r="P272" s="1551"/>
      <c r="AH272" s="1558">
        <v>0</v>
      </c>
    </row>
    <row r="273" spans="1:34" s="1562" customFormat="1" ht="0.75" hidden="1" customHeight="1">
      <c r="A273" s="1706"/>
      <c r="B273" s="1706"/>
      <c r="C273" s="306" t="s">
        <v>1200</v>
      </c>
      <c r="D273" s="3053"/>
      <c r="E273" s="2852"/>
      <c r="F273" s="2991"/>
      <c r="G273" s="337"/>
      <c r="H273" s="1427"/>
      <c r="I273" s="588"/>
      <c r="J273" s="508"/>
      <c r="K273" s="1427"/>
      <c r="L273" s="152"/>
      <c r="M273" s="279"/>
      <c r="N273" s="272"/>
      <c r="O273" s="1551"/>
      <c r="P273" s="1551"/>
      <c r="AH273" s="1558">
        <v>0</v>
      </c>
    </row>
    <row r="274" spans="1:34" s="1562" customFormat="1" ht="45" hidden="1" customHeight="1">
      <c r="A274" s="1706" t="s">
        <v>220</v>
      </c>
      <c r="B274" s="1706" t="s">
        <v>221</v>
      </c>
      <c r="C274" s="306"/>
      <c r="D274" s="3053"/>
      <c r="E274" s="2852"/>
      <c r="F274" s="2991" t="str">
        <f>INDEX(PT_DIFFERENTIATION_VTAR,MATCH(A274,PT_DIFFERENTIATION_VTAR_ID,0))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274" s="3028" t="str">
        <f>INDEX(PT_DIFFERENTIATION_NTAR,MATCH(B274,PT_DIFFERENTIATION_NTAR_ID,0))</f>
        <v/>
      </c>
      <c r="H274" s="1787"/>
      <c r="I274" s="1665"/>
      <c r="J274" s="1699"/>
      <c r="K274" s="1704"/>
      <c r="L274" s="1787" t="s">
        <v>351</v>
      </c>
      <c r="M274" s="279"/>
      <c r="N274" s="272"/>
      <c r="O274" s="1551"/>
      <c r="P274" s="1551"/>
      <c r="AH274" s="1558">
        <v>0</v>
      </c>
    </row>
    <row r="275" spans="1:34" s="1562" customFormat="1" ht="18.75" hidden="1" customHeight="1">
      <c r="A275" s="1706"/>
      <c r="B275" s="1706"/>
      <c r="C275" s="306" t="s">
        <v>1191</v>
      </c>
      <c r="D275" s="3053"/>
      <c r="E275" s="2852"/>
      <c r="F275" s="2991"/>
      <c r="G275" s="3028"/>
      <c r="H275" s="1427"/>
      <c r="I275" s="588" t="s">
        <v>1190</v>
      </c>
      <c r="J275" s="508"/>
      <c r="K275" s="1427"/>
      <c r="L275" s="152"/>
      <c r="M275" s="279"/>
      <c r="N275" s="272"/>
      <c r="O275" s="1551"/>
      <c r="P275" s="1551"/>
      <c r="AH275" s="1558">
        <v>0</v>
      </c>
    </row>
    <row r="276" spans="1:34" s="1562" customFormat="1" ht="0.75" hidden="1" customHeight="1">
      <c r="A276" s="1706"/>
      <c r="B276" s="1706"/>
      <c r="C276" s="306" t="s">
        <v>1200</v>
      </c>
      <c r="D276" s="3053"/>
      <c r="E276" s="2852"/>
      <c r="F276" s="2991"/>
      <c r="G276" s="337"/>
      <c r="H276" s="1427"/>
      <c r="I276" s="588"/>
      <c r="J276" s="508"/>
      <c r="K276" s="1427"/>
      <c r="L276" s="152"/>
      <c r="M276" s="279"/>
      <c r="N276" s="272"/>
      <c r="O276" s="1551"/>
      <c r="P276" s="1551"/>
      <c r="AH276" s="1558">
        <v>0</v>
      </c>
    </row>
    <row r="277" spans="1:34" s="1562" customFormat="1" ht="18.75" hidden="1" customHeight="1">
      <c r="A277" s="1706" t="s">
        <v>226</v>
      </c>
      <c r="B277" s="1706" t="s">
        <v>227</v>
      </c>
      <c r="C277" s="306"/>
      <c r="D277" s="3053"/>
      <c r="E277" s="2852"/>
      <c r="F277" s="2991" t="str">
        <f>INDEX(PT_DIFFERENTIATION_VTAR,MATCH(A277,PT_DIFFERENTIATION_VTAR_ID,0))</f>
        <v>Тарифы на услуги по передаче тепловой энергии</v>
      </c>
      <c r="G277" s="3028" t="str">
        <f>INDEX(PT_DIFFERENTIATION_NTAR,MATCH(B277,PT_DIFFERENTIATION_NTAR_ID,0))</f>
        <v/>
      </c>
      <c r="H277" s="1787"/>
      <c r="I277" s="1665"/>
      <c r="J277" s="1699"/>
      <c r="K277" s="1704"/>
      <c r="L277" s="1787" t="s">
        <v>351</v>
      </c>
      <c r="M277" s="279"/>
      <c r="N277" s="272"/>
      <c r="O277" s="1551"/>
      <c r="P277" s="1551"/>
      <c r="AH277" s="1558">
        <v>0</v>
      </c>
    </row>
    <row r="278" spans="1:34" s="1562" customFormat="1" ht="18.75" hidden="1" customHeight="1">
      <c r="A278" s="1706"/>
      <c r="B278" s="1706"/>
      <c r="C278" s="306" t="s">
        <v>1191</v>
      </c>
      <c r="D278" s="3053"/>
      <c r="E278" s="2852"/>
      <c r="F278" s="2991"/>
      <c r="G278" s="3028"/>
      <c r="H278" s="1427"/>
      <c r="I278" s="588" t="s">
        <v>1190</v>
      </c>
      <c r="J278" s="508"/>
      <c r="K278" s="1427"/>
      <c r="L278" s="152"/>
      <c r="M278" s="279"/>
      <c r="N278" s="272"/>
      <c r="O278" s="1551"/>
      <c r="P278" s="1551"/>
      <c r="AH278" s="1558">
        <v>0</v>
      </c>
    </row>
    <row r="279" spans="1:34" s="1562" customFormat="1" ht="0.75" hidden="1" customHeight="1">
      <c r="A279" s="1706"/>
      <c r="B279" s="1706"/>
      <c r="C279" s="306" t="s">
        <v>1200</v>
      </c>
      <c r="D279" s="3053"/>
      <c r="E279" s="2852"/>
      <c r="F279" s="2991"/>
      <c r="G279" s="337"/>
      <c r="H279" s="1427"/>
      <c r="I279" s="588"/>
      <c r="J279" s="508"/>
      <c r="K279" s="1427"/>
      <c r="L279" s="152"/>
      <c r="M279" s="279"/>
      <c r="N279" s="272"/>
      <c r="O279" s="1551"/>
      <c r="P279" s="1551"/>
      <c r="AH279" s="1558">
        <v>0</v>
      </c>
    </row>
    <row r="280" spans="1:34" s="1562" customFormat="1" ht="18.75" hidden="1" customHeight="1">
      <c r="A280" s="1706" t="s">
        <v>232</v>
      </c>
      <c r="B280" s="1706" t="s">
        <v>233</v>
      </c>
      <c r="C280" s="306"/>
      <c r="D280" s="3053"/>
      <c r="E280" s="2852"/>
      <c r="F280" s="2991" t="str">
        <f>INDEX(PT_DIFFERENTIATION_VTAR,MATCH(A280,PT_DIFFERENTIATION_VTAR_ID,0))</f>
        <v>Тарифы на услуги по передаче теплоносителя</v>
      </c>
      <c r="G280" s="3028" t="str">
        <f>INDEX(PT_DIFFERENTIATION_NTAR,MATCH(B280,PT_DIFFERENTIATION_NTAR_ID,0))</f>
        <v/>
      </c>
      <c r="H280" s="1787"/>
      <c r="I280" s="1665"/>
      <c r="J280" s="1699"/>
      <c r="K280" s="1704"/>
      <c r="L280" s="1787" t="s">
        <v>351</v>
      </c>
      <c r="M280" s="279"/>
      <c r="N280" s="272"/>
      <c r="O280" s="1551"/>
      <c r="P280" s="1551"/>
      <c r="AH280" s="1558">
        <v>0</v>
      </c>
    </row>
    <row r="281" spans="1:34" s="1562" customFormat="1" ht="18.75" hidden="1" customHeight="1">
      <c r="A281" s="1706"/>
      <c r="B281" s="1706"/>
      <c r="C281" s="306" t="s">
        <v>1191</v>
      </c>
      <c r="D281" s="3053"/>
      <c r="E281" s="2852"/>
      <c r="F281" s="2991"/>
      <c r="G281" s="3028"/>
      <c r="H281" s="1427"/>
      <c r="I281" s="588" t="s">
        <v>1190</v>
      </c>
      <c r="J281" s="508"/>
      <c r="K281" s="1427"/>
      <c r="L281" s="152"/>
      <c r="M281" s="279"/>
      <c r="N281" s="272"/>
      <c r="O281" s="1551"/>
      <c r="P281" s="1551"/>
      <c r="AH281" s="1558">
        <v>0</v>
      </c>
    </row>
    <row r="282" spans="1:34" s="1562" customFormat="1" ht="0.75" hidden="1" customHeight="1">
      <c r="A282" s="1706"/>
      <c r="B282" s="1706"/>
      <c r="C282" s="306" t="s">
        <v>1200</v>
      </c>
      <c r="D282" s="3053"/>
      <c r="E282" s="2852"/>
      <c r="F282" s="2991"/>
      <c r="G282" s="337"/>
      <c r="H282" s="1427"/>
      <c r="I282" s="588"/>
      <c r="J282" s="508"/>
      <c r="K282" s="1427"/>
      <c r="L282" s="152"/>
      <c r="M282" s="279"/>
      <c r="N282" s="272"/>
      <c r="O282" s="1551"/>
      <c r="P282" s="1551"/>
      <c r="AH282" s="1558">
        <v>0</v>
      </c>
    </row>
    <row r="283" spans="1:34" s="1562" customFormat="1" ht="18.75" hidden="1" customHeight="1">
      <c r="A283" s="1706" t="s">
        <v>238</v>
      </c>
      <c r="B283" s="1706" t="s">
        <v>239</v>
      </c>
      <c r="C283" s="306"/>
      <c r="D283" s="3053"/>
      <c r="E283" s="2852"/>
      <c r="F283" s="2991" t="str">
        <f>INDEX(PT_DIFFERENTIATION_VTAR,MATCH(A283,PT_DIFFERENTIATION_VTAR_ID,0))</f>
        <v>Плата за услуги по поддержанию резервной тепловой мощности при отсутствии потребления тепловой энергии</v>
      </c>
      <c r="G283" s="3028" t="str">
        <f>INDEX(PT_DIFFERENTIATION_NTAR,MATCH(B283,PT_DIFFERENTIATION_NTAR_ID,0))</f>
        <v/>
      </c>
      <c r="H283" s="1787"/>
      <c r="I283" s="1665"/>
      <c r="J283" s="1699"/>
      <c r="K283" s="1704"/>
      <c r="L283" s="1787" t="s">
        <v>351</v>
      </c>
      <c r="M283" s="279"/>
      <c r="N283" s="272"/>
      <c r="O283" s="1551"/>
      <c r="P283" s="1551"/>
      <c r="AH283" s="1558">
        <v>0</v>
      </c>
    </row>
    <row r="284" spans="1:34" s="1562" customFormat="1" ht="18.75" hidden="1" customHeight="1">
      <c r="A284" s="1706"/>
      <c r="B284" s="1706"/>
      <c r="C284" s="306" t="s">
        <v>1191</v>
      </c>
      <c r="D284" s="3053"/>
      <c r="E284" s="2852"/>
      <c r="F284" s="2991"/>
      <c r="G284" s="3028"/>
      <c r="H284" s="1427"/>
      <c r="I284" s="588" t="s">
        <v>1190</v>
      </c>
      <c r="J284" s="508"/>
      <c r="K284" s="1427"/>
      <c r="L284" s="152"/>
      <c r="M284" s="279"/>
      <c r="N284" s="272"/>
      <c r="O284" s="1551"/>
      <c r="P284" s="1551"/>
      <c r="AH284" s="1558">
        <v>0</v>
      </c>
    </row>
    <row r="285" spans="1:34" s="1562" customFormat="1" ht="0.75" hidden="1" customHeight="1">
      <c r="A285" s="1706"/>
      <c r="B285" s="1706"/>
      <c r="C285" s="306" t="s">
        <v>1200</v>
      </c>
      <c r="D285" s="3053"/>
      <c r="E285" s="2852"/>
      <c r="F285" s="2991"/>
      <c r="G285" s="337"/>
      <c r="H285" s="1427"/>
      <c r="I285" s="588"/>
      <c r="J285" s="508"/>
      <c r="K285" s="1427"/>
      <c r="L285" s="152"/>
      <c r="M285" s="279"/>
      <c r="N285" s="272"/>
      <c r="O285" s="1551"/>
      <c r="P285" s="1551"/>
      <c r="AH285" s="1558">
        <v>0</v>
      </c>
    </row>
    <row r="286" spans="1:34" s="1562" customFormat="1" ht="18.75" hidden="1" customHeight="1">
      <c r="A286" s="1706" t="s">
        <v>244</v>
      </c>
      <c r="B286" s="1706" t="s">
        <v>245</v>
      </c>
      <c r="C286" s="306"/>
      <c r="D286" s="3053"/>
      <c r="E286" s="2852"/>
      <c r="F286" s="2991" t="str">
        <f>INDEX(PT_DIFFERENTIATION_VTAR,MATCH(A286,PT_DIFFERENTIATION_VTAR_ID,0))</f>
        <v>Плата за подключение (технологическое присоединение) к системе теплоснабжения</v>
      </c>
      <c r="G286" s="3028" t="str">
        <f>INDEX(PT_DIFFERENTIATION_NTAR,MATCH(B286,PT_DIFFERENTIATION_NTAR_ID,0))</f>
        <v/>
      </c>
      <c r="H286" s="1787"/>
      <c r="I286" s="1665"/>
      <c r="J286" s="1699"/>
      <c r="K286" s="1704"/>
      <c r="L286" s="1787" t="s">
        <v>351</v>
      </c>
      <c r="M286" s="279"/>
      <c r="N286" s="272"/>
      <c r="O286" s="1551"/>
      <c r="P286" s="1551"/>
      <c r="AH286" s="1558">
        <v>0</v>
      </c>
    </row>
    <row r="287" spans="1:34" s="1562" customFormat="1" ht="18.75" hidden="1" customHeight="1">
      <c r="A287" s="1706"/>
      <c r="B287" s="1706"/>
      <c r="C287" s="306" t="s">
        <v>1191</v>
      </c>
      <c r="D287" s="3053"/>
      <c r="E287" s="2852"/>
      <c r="F287" s="2991"/>
      <c r="G287" s="3028"/>
      <c r="H287" s="1427"/>
      <c r="I287" s="588" t="s">
        <v>1190</v>
      </c>
      <c r="J287" s="508"/>
      <c r="K287" s="1427"/>
      <c r="L287" s="152"/>
      <c r="M287" s="279"/>
      <c r="N287" s="272"/>
      <c r="O287" s="1551"/>
      <c r="P287" s="1551"/>
      <c r="AH287" s="1558">
        <v>0</v>
      </c>
    </row>
    <row r="288" spans="1:34" s="1562" customFormat="1" ht="0.75" hidden="1" customHeight="1">
      <c r="A288" s="1706"/>
      <c r="B288" s="1706"/>
      <c r="C288" s="306" t="s">
        <v>1200</v>
      </c>
      <c r="D288" s="3053"/>
      <c r="E288" s="2852"/>
      <c r="F288" s="2991"/>
      <c r="G288" s="337"/>
      <c r="H288" s="1427"/>
      <c r="I288" s="588"/>
      <c r="J288" s="508"/>
      <c r="K288" s="1427"/>
      <c r="L288" s="152"/>
      <c r="M288" s="279"/>
      <c r="N288" s="272"/>
      <c r="O288" s="1551"/>
      <c r="P288" s="1551"/>
      <c r="AH288" s="1558">
        <v>0</v>
      </c>
    </row>
    <row r="289" spans="1:34" s="1562" customFormat="1" ht="18.75" hidden="1" customHeight="1">
      <c r="A289" s="1706" t="s">
        <v>250</v>
      </c>
      <c r="B289" s="1706" t="s">
        <v>251</v>
      </c>
      <c r="C289" s="306"/>
      <c r="D289" s="3053"/>
      <c r="E289" s="2852"/>
      <c r="F289" s="2991" t="str">
        <f>INDEX(PT_DIFFERENTIATION_VTAR,MATCH(A289,PT_DIFFERENTIATION_VTAR_ID,0))</f>
        <v>Плата за подключение (технологическое присоединение) к системе теплоснабжения (индивидуальная)</v>
      </c>
      <c r="G289" s="3028" t="str">
        <f>INDEX(PT_DIFFERENTIATION_NTAR,MATCH(B289,PT_DIFFERENTIATION_NTAR_ID,0))</f>
        <v/>
      </c>
      <c r="H289" s="1911"/>
      <c r="I289" s="1665"/>
      <c r="J289" s="1699"/>
      <c r="K289" s="1704"/>
      <c r="L289" s="1911" t="s">
        <v>351</v>
      </c>
      <c r="M289" s="279"/>
      <c r="N289" s="272"/>
      <c r="O289" s="1551"/>
      <c r="P289" s="1551"/>
      <c r="AH289" s="1558">
        <v>0</v>
      </c>
    </row>
    <row r="290" spans="1:34" s="1562" customFormat="1" ht="18.75" hidden="1" customHeight="1">
      <c r="A290" s="1706"/>
      <c r="B290" s="1706"/>
      <c r="C290" s="306" t="s">
        <v>1191</v>
      </c>
      <c r="D290" s="3053"/>
      <c r="E290" s="2852"/>
      <c r="F290" s="2991"/>
      <c r="G290" s="3028"/>
      <c r="H290" s="1427"/>
      <c r="I290" s="588" t="s">
        <v>1190</v>
      </c>
      <c r="J290" s="508"/>
      <c r="K290" s="1427"/>
      <c r="L290" s="152"/>
      <c r="M290" s="279"/>
      <c r="N290" s="272"/>
      <c r="O290" s="1551"/>
      <c r="P290" s="1551"/>
      <c r="AH290" s="1558">
        <v>0</v>
      </c>
    </row>
    <row r="291" spans="1:34" s="1562" customFormat="1" ht="0.75" hidden="1" customHeight="1">
      <c r="A291" s="1706"/>
      <c r="B291" s="1706"/>
      <c r="C291" s="306" t="s">
        <v>1200</v>
      </c>
      <c r="D291" s="3053"/>
      <c r="E291" s="2852"/>
      <c r="F291" s="2991"/>
      <c r="G291" s="337"/>
      <c r="H291" s="1427"/>
      <c r="I291" s="588"/>
      <c r="J291" s="508"/>
      <c r="K291" s="1427"/>
      <c r="L291" s="152"/>
      <c r="M291" s="279"/>
      <c r="N291" s="272"/>
      <c r="O291" s="1551"/>
      <c r="P291" s="1551"/>
      <c r="AH291" s="1558">
        <v>0</v>
      </c>
    </row>
    <row r="292" spans="1:34" s="1562" customFormat="1" ht="18.75" hidden="1" customHeight="1">
      <c r="A292" s="1706" t="s">
        <v>270</v>
      </c>
      <c r="B292" s="1706" t="s">
        <v>271</v>
      </c>
      <c r="C292" s="306"/>
      <c r="D292" s="3053"/>
      <c r="E292" s="2852"/>
      <c r="F292" s="2991" t="str">
        <f>INDEX(PT_DIFFERENTIATION_VTAR,MATCH(A292,PT_DIFFERENTIATION_VTAR_ID,0))</f>
        <v>Тариф на питьевую воду (питьевое водоснабжение)</v>
      </c>
      <c r="G292" s="3028" t="str">
        <f>INDEX(PT_DIFFERENTIATION_NTAR,MATCH(B292,PT_DIFFERENTIATION_NTAR_ID,0))</f>
        <v/>
      </c>
      <c r="H292" s="1787"/>
      <c r="I292" s="1665"/>
      <c r="J292" s="1699"/>
      <c r="K292" s="1704"/>
      <c r="L292" s="1787" t="s">
        <v>351</v>
      </c>
      <c r="M292" s="279"/>
      <c r="N292" s="272"/>
      <c r="O292" s="1551"/>
      <c r="P292" s="1551"/>
      <c r="AH292" s="1558">
        <v>0</v>
      </c>
    </row>
    <row r="293" spans="1:34" s="1562" customFormat="1" ht="18.75" hidden="1" customHeight="1">
      <c r="A293" s="1706"/>
      <c r="B293" s="1706"/>
      <c r="C293" s="306" t="s">
        <v>1191</v>
      </c>
      <c r="D293" s="3053"/>
      <c r="E293" s="2852"/>
      <c r="F293" s="2991"/>
      <c r="G293" s="3028"/>
      <c r="H293" s="1427"/>
      <c r="I293" s="588" t="s">
        <v>1190</v>
      </c>
      <c r="J293" s="508"/>
      <c r="K293" s="1427"/>
      <c r="L293" s="152"/>
      <c r="M293" s="279"/>
      <c r="N293" s="272"/>
      <c r="O293" s="1551"/>
      <c r="P293" s="1551"/>
      <c r="AH293" s="1558">
        <v>0</v>
      </c>
    </row>
    <row r="294" spans="1:34" s="1562" customFormat="1" ht="0.75" hidden="1" customHeight="1">
      <c r="A294" s="1706"/>
      <c r="B294" s="1706"/>
      <c r="C294" s="306" t="s">
        <v>1200</v>
      </c>
      <c r="D294" s="3053"/>
      <c r="E294" s="2852"/>
      <c r="F294" s="2991"/>
      <c r="G294" s="337"/>
      <c r="H294" s="1427"/>
      <c r="I294" s="588"/>
      <c r="J294" s="508"/>
      <c r="K294" s="1427"/>
      <c r="L294" s="152"/>
      <c r="M294" s="279"/>
      <c r="N294" s="272"/>
      <c r="O294" s="1551"/>
      <c r="P294" s="1551"/>
      <c r="AH294" s="1558">
        <v>0</v>
      </c>
    </row>
    <row r="295" spans="1:34" s="1562" customFormat="1" ht="18.75" hidden="1" customHeight="1">
      <c r="A295" s="1706" t="s">
        <v>275</v>
      </c>
      <c r="B295" s="1706" t="s">
        <v>276</v>
      </c>
      <c r="C295" s="306"/>
      <c r="D295" s="3053"/>
      <c r="E295" s="2852"/>
      <c r="F295" s="2991" t="str">
        <f>INDEX(PT_DIFFERENTIATION_VTAR,MATCH(A295,PT_DIFFERENTIATION_VTAR_ID,0))</f>
        <v>Тариф на техническую воду</v>
      </c>
      <c r="G295" s="3028" t="str">
        <f>INDEX(PT_DIFFERENTIATION_NTAR,MATCH(B295,PT_DIFFERENTIATION_NTAR_ID,0))</f>
        <v/>
      </c>
      <c r="H295" s="1787"/>
      <c r="I295" s="1665"/>
      <c r="J295" s="1699"/>
      <c r="K295" s="1704"/>
      <c r="L295" s="1787" t="s">
        <v>351</v>
      </c>
      <c r="M295" s="279"/>
      <c r="N295" s="272"/>
      <c r="O295" s="1551"/>
      <c r="P295" s="1551"/>
      <c r="AH295" s="1558">
        <v>0</v>
      </c>
    </row>
    <row r="296" spans="1:34" s="1562" customFormat="1" ht="18.75" hidden="1" customHeight="1">
      <c r="A296" s="1706"/>
      <c r="B296" s="1706"/>
      <c r="C296" s="306" t="s">
        <v>1191</v>
      </c>
      <c r="D296" s="3053"/>
      <c r="E296" s="2852"/>
      <c r="F296" s="2991"/>
      <c r="G296" s="3028"/>
      <c r="H296" s="1427"/>
      <c r="I296" s="588" t="s">
        <v>1190</v>
      </c>
      <c r="J296" s="508"/>
      <c r="K296" s="1427"/>
      <c r="L296" s="152"/>
      <c r="M296" s="279"/>
      <c r="N296" s="272"/>
      <c r="O296" s="1551"/>
      <c r="P296" s="1551"/>
      <c r="AH296" s="1558">
        <v>0</v>
      </c>
    </row>
    <row r="297" spans="1:34" s="1562" customFormat="1" ht="0.75" hidden="1" customHeight="1">
      <c r="A297" s="1706"/>
      <c r="B297" s="1706"/>
      <c r="C297" s="306" t="s">
        <v>1200</v>
      </c>
      <c r="D297" s="3053"/>
      <c r="E297" s="2852"/>
      <c r="F297" s="2991"/>
      <c r="G297" s="337"/>
      <c r="H297" s="1427"/>
      <c r="I297" s="588"/>
      <c r="J297" s="508"/>
      <c r="K297" s="1427"/>
      <c r="L297" s="152"/>
      <c r="M297" s="279"/>
      <c r="N297" s="272"/>
      <c r="O297" s="1551"/>
      <c r="P297" s="1551"/>
      <c r="AH297" s="1558">
        <v>0</v>
      </c>
    </row>
    <row r="298" spans="1:34" s="1562" customFormat="1" ht="18.75" hidden="1" customHeight="1">
      <c r="A298" s="1706" t="s">
        <v>280</v>
      </c>
      <c r="B298" s="1706" t="s">
        <v>281</v>
      </c>
      <c r="C298" s="306"/>
      <c r="D298" s="3053"/>
      <c r="E298" s="2852"/>
      <c r="F298" s="2991" t="str">
        <f>INDEX(PT_DIFFERENTIATION_VTAR,MATCH(A298,PT_DIFFERENTIATION_VTAR_ID,0))</f>
        <v>Тариф на транспортировку воды</v>
      </c>
      <c r="G298" s="3028" t="str">
        <f>INDEX(PT_DIFFERENTIATION_NTAR,MATCH(B298,PT_DIFFERENTIATION_NTAR_ID,0))</f>
        <v/>
      </c>
      <c r="H298" s="1787"/>
      <c r="I298" s="1665"/>
      <c r="J298" s="1699"/>
      <c r="K298" s="1704"/>
      <c r="L298" s="1787" t="s">
        <v>351</v>
      </c>
      <c r="M298" s="279"/>
      <c r="N298" s="272"/>
      <c r="O298" s="1551"/>
      <c r="P298" s="1551"/>
      <c r="AH298" s="1558">
        <v>0</v>
      </c>
    </row>
    <row r="299" spans="1:34" s="1562" customFormat="1" ht="18.75" hidden="1" customHeight="1">
      <c r="A299" s="1706"/>
      <c r="B299" s="1706"/>
      <c r="C299" s="306" t="s">
        <v>1191</v>
      </c>
      <c r="D299" s="3053"/>
      <c r="E299" s="2852"/>
      <c r="F299" s="2991"/>
      <c r="G299" s="3028"/>
      <c r="H299" s="1427"/>
      <c r="I299" s="588" t="s">
        <v>1190</v>
      </c>
      <c r="J299" s="508"/>
      <c r="K299" s="1427"/>
      <c r="L299" s="152"/>
      <c r="M299" s="279"/>
      <c r="N299" s="272"/>
      <c r="O299" s="1551"/>
      <c r="P299" s="1551"/>
      <c r="AH299" s="1558">
        <v>0</v>
      </c>
    </row>
    <row r="300" spans="1:34" s="1562" customFormat="1" ht="0.75" hidden="1" customHeight="1">
      <c r="A300" s="1706"/>
      <c r="B300" s="1706"/>
      <c r="C300" s="306" t="s">
        <v>1200</v>
      </c>
      <c r="D300" s="3053"/>
      <c r="E300" s="2852"/>
      <c r="F300" s="2991"/>
      <c r="G300" s="337"/>
      <c r="H300" s="1427"/>
      <c r="I300" s="588"/>
      <c r="J300" s="508"/>
      <c r="K300" s="1427"/>
      <c r="L300" s="152"/>
      <c r="M300" s="279"/>
      <c r="N300" s="272"/>
      <c r="O300" s="1551"/>
      <c r="P300" s="1551"/>
      <c r="AH300" s="1558">
        <v>0</v>
      </c>
    </row>
    <row r="301" spans="1:34" s="1562" customFormat="1" ht="18.75" hidden="1" customHeight="1">
      <c r="A301" s="1706" t="s">
        <v>285</v>
      </c>
      <c r="B301" s="1706" t="s">
        <v>286</v>
      </c>
      <c r="C301" s="306"/>
      <c r="D301" s="3053"/>
      <c r="E301" s="2852"/>
      <c r="F301" s="2991" t="str">
        <f>INDEX(PT_DIFFERENTIATION_VTAR,MATCH(A301,PT_DIFFERENTIATION_VTAR_ID,0))</f>
        <v>Тариф на подвоз воды</v>
      </c>
      <c r="G301" s="3028" t="str">
        <f>INDEX(PT_DIFFERENTIATION_NTAR,MATCH(B301,PT_DIFFERENTIATION_NTAR_ID,0))</f>
        <v/>
      </c>
      <c r="H301" s="1787"/>
      <c r="I301" s="1665"/>
      <c r="J301" s="1699"/>
      <c r="K301" s="1704"/>
      <c r="L301" s="1787" t="s">
        <v>351</v>
      </c>
      <c r="M301" s="279"/>
      <c r="N301" s="272"/>
      <c r="O301" s="1551"/>
      <c r="P301" s="1551"/>
      <c r="AH301" s="1558">
        <v>0</v>
      </c>
    </row>
    <row r="302" spans="1:34" s="1562" customFormat="1" ht="18.75" hidden="1" customHeight="1">
      <c r="A302" s="1706"/>
      <c r="B302" s="1706"/>
      <c r="C302" s="306" t="s">
        <v>1191</v>
      </c>
      <c r="D302" s="3053"/>
      <c r="E302" s="2852"/>
      <c r="F302" s="2991"/>
      <c r="G302" s="3028"/>
      <c r="H302" s="1427"/>
      <c r="I302" s="588" t="s">
        <v>1190</v>
      </c>
      <c r="J302" s="508"/>
      <c r="K302" s="1427"/>
      <c r="L302" s="152"/>
      <c r="M302" s="279"/>
      <c r="N302" s="272"/>
      <c r="O302" s="1551"/>
      <c r="P302" s="1551"/>
      <c r="AH302" s="1558">
        <v>0</v>
      </c>
    </row>
    <row r="303" spans="1:34" s="1562" customFormat="1" ht="0.75" hidden="1" customHeight="1">
      <c r="A303" s="1706"/>
      <c r="B303" s="1706"/>
      <c r="C303" s="306" t="s">
        <v>1200</v>
      </c>
      <c r="D303" s="3053"/>
      <c r="E303" s="2852"/>
      <c r="F303" s="2991"/>
      <c r="G303" s="337"/>
      <c r="H303" s="1427"/>
      <c r="I303" s="588"/>
      <c r="J303" s="508"/>
      <c r="K303" s="1427"/>
      <c r="L303" s="152"/>
      <c r="M303" s="279"/>
      <c r="N303" s="272"/>
      <c r="O303" s="1551"/>
      <c r="P303" s="1551"/>
      <c r="AH303" s="1558">
        <v>0</v>
      </c>
    </row>
    <row r="304" spans="1:34" s="1562" customFormat="1" ht="18.75" hidden="1" customHeight="1">
      <c r="A304" s="1706" t="s">
        <v>290</v>
      </c>
      <c r="B304" s="1706" t="s">
        <v>291</v>
      </c>
      <c r="C304" s="306"/>
      <c r="D304" s="3053"/>
      <c r="E304" s="2852"/>
      <c r="F304" s="2991" t="str">
        <f>INDEX(PT_DIFFERENTIATION_VTAR,MATCH(A304,PT_DIFFERENTIATION_VTAR_ID,0))</f>
        <v>Тариф на подключение (технологическое присоединение) к централизованной системе холодного водоснабжения</v>
      </c>
      <c r="G304" s="3028" t="str">
        <f>INDEX(PT_DIFFERENTIATION_NTAR,MATCH(B304,PT_DIFFERENTIATION_NTAR_ID,0))</f>
        <v/>
      </c>
      <c r="H304" s="1787"/>
      <c r="I304" s="1665"/>
      <c r="J304" s="1699"/>
      <c r="K304" s="1704"/>
      <c r="L304" s="1787" t="s">
        <v>351</v>
      </c>
      <c r="M304" s="279"/>
      <c r="N304" s="272"/>
      <c r="O304" s="1551"/>
      <c r="P304" s="1551"/>
      <c r="AH304" s="1558">
        <v>0</v>
      </c>
    </row>
    <row r="305" spans="1:34" s="1562" customFormat="1" ht="18.75" hidden="1" customHeight="1">
      <c r="A305" s="1706"/>
      <c r="B305" s="1706"/>
      <c r="C305" s="306" t="s">
        <v>1191</v>
      </c>
      <c r="D305" s="3053"/>
      <c r="E305" s="2852"/>
      <c r="F305" s="2991"/>
      <c r="G305" s="3028"/>
      <c r="H305" s="1427"/>
      <c r="I305" s="588" t="s">
        <v>1190</v>
      </c>
      <c r="J305" s="508"/>
      <c r="K305" s="1427"/>
      <c r="L305" s="152"/>
      <c r="M305" s="279"/>
      <c r="N305" s="272"/>
      <c r="O305" s="1551"/>
      <c r="P305" s="1551"/>
      <c r="AH305" s="1558">
        <v>0</v>
      </c>
    </row>
    <row r="306" spans="1:34" s="1562" customFormat="1" ht="0.75" hidden="1" customHeight="1">
      <c r="A306" s="1706"/>
      <c r="B306" s="1706"/>
      <c r="C306" s="306" t="s">
        <v>1200</v>
      </c>
      <c r="D306" s="3053"/>
      <c r="E306" s="2852"/>
      <c r="F306" s="2991"/>
      <c r="G306" s="337"/>
      <c r="H306" s="1427"/>
      <c r="I306" s="588"/>
      <c r="J306" s="508"/>
      <c r="K306" s="1427"/>
      <c r="L306" s="152"/>
      <c r="M306" s="279"/>
      <c r="N306" s="272"/>
      <c r="O306" s="1551"/>
      <c r="P306" s="1551"/>
      <c r="AH306" s="1558">
        <v>0</v>
      </c>
    </row>
    <row r="307" spans="1:34" s="1562" customFormat="1" ht="18.75" hidden="1" customHeight="1">
      <c r="A307" s="1706" t="s">
        <v>295</v>
      </c>
      <c r="B307" s="1706" t="s">
        <v>296</v>
      </c>
      <c r="C307" s="306"/>
      <c r="D307" s="3053"/>
      <c r="E307" s="2852"/>
      <c r="F307" s="2991" t="str">
        <f>INDEX(PT_DIFFERENTIATION_VTAR,MATCH(A307,PT_DIFFERENTIATION_VTAR_ID,0))</f>
        <v>Тариф на горячую воду (горячее водоснабжение)</v>
      </c>
      <c r="G307" s="3028" t="str">
        <f>INDEX(PT_DIFFERENTIATION_NTAR,MATCH(B307,PT_DIFFERENTIATION_NTAR_ID,0))</f>
        <v/>
      </c>
      <c r="H307" s="1787"/>
      <c r="I307" s="1665"/>
      <c r="J307" s="1699"/>
      <c r="K307" s="1704"/>
      <c r="L307" s="1787" t="s">
        <v>351</v>
      </c>
      <c r="M307" s="279"/>
      <c r="N307" s="272"/>
      <c r="O307" s="1551"/>
      <c r="P307" s="1551"/>
      <c r="AH307" s="1558">
        <v>0</v>
      </c>
    </row>
    <row r="308" spans="1:34" s="1562" customFormat="1" ht="18.75" hidden="1" customHeight="1">
      <c r="A308" s="1706"/>
      <c r="B308" s="1706"/>
      <c r="C308" s="306" t="s">
        <v>1191</v>
      </c>
      <c r="D308" s="3053"/>
      <c r="E308" s="2852"/>
      <c r="F308" s="2991"/>
      <c r="G308" s="3028"/>
      <c r="H308" s="1427"/>
      <c r="I308" s="588" t="s">
        <v>1190</v>
      </c>
      <c r="J308" s="508"/>
      <c r="K308" s="1427"/>
      <c r="L308" s="152"/>
      <c r="M308" s="279"/>
      <c r="N308" s="272"/>
      <c r="O308" s="1551"/>
      <c r="P308" s="1551"/>
      <c r="AH308" s="1558">
        <v>0</v>
      </c>
    </row>
    <row r="309" spans="1:34" s="1562" customFormat="1" ht="0.75" hidden="1" customHeight="1">
      <c r="A309" s="1706"/>
      <c r="B309" s="1706"/>
      <c r="C309" s="306" t="s">
        <v>1200</v>
      </c>
      <c r="D309" s="3053"/>
      <c r="E309" s="2852"/>
      <c r="F309" s="2991"/>
      <c r="G309" s="337"/>
      <c r="H309" s="1427"/>
      <c r="I309" s="588"/>
      <c r="J309" s="508"/>
      <c r="K309" s="1427"/>
      <c r="L309" s="152"/>
      <c r="M309" s="279"/>
      <c r="N309" s="272"/>
      <c r="O309" s="1551"/>
      <c r="P309" s="1551"/>
      <c r="AH309" s="1558">
        <v>0</v>
      </c>
    </row>
    <row r="310" spans="1:34" s="1562" customFormat="1" ht="18.75" hidden="1" customHeight="1">
      <c r="A310" s="1706" t="s">
        <v>300</v>
      </c>
      <c r="B310" s="1706" t="s">
        <v>301</v>
      </c>
      <c r="C310" s="306"/>
      <c r="D310" s="3053"/>
      <c r="E310" s="2852"/>
      <c r="F310" s="2991" t="str">
        <f>INDEX(PT_DIFFERENTIATION_VTAR,MATCH(A310,PT_DIFFERENTIATION_VTAR_ID,0))</f>
        <v>Тариф на транспортировку горячей воды</v>
      </c>
      <c r="G310" s="3028" t="str">
        <f>INDEX(PT_DIFFERENTIATION_NTAR,MATCH(B310,PT_DIFFERENTIATION_NTAR_ID,0))</f>
        <v/>
      </c>
      <c r="H310" s="1787"/>
      <c r="I310" s="1665"/>
      <c r="J310" s="1699"/>
      <c r="K310" s="1704"/>
      <c r="L310" s="1787" t="s">
        <v>351</v>
      </c>
      <c r="M310" s="279"/>
      <c r="N310" s="272"/>
      <c r="O310" s="1551"/>
      <c r="P310" s="1551"/>
      <c r="AH310" s="1558">
        <v>0</v>
      </c>
    </row>
    <row r="311" spans="1:34" s="1562" customFormat="1" ht="18.75" hidden="1" customHeight="1">
      <c r="A311" s="1706"/>
      <c r="B311" s="1706"/>
      <c r="C311" s="306" t="s">
        <v>1191</v>
      </c>
      <c r="D311" s="3053"/>
      <c r="E311" s="2852"/>
      <c r="F311" s="2991"/>
      <c r="G311" s="3028"/>
      <c r="H311" s="1427"/>
      <c r="I311" s="588" t="s">
        <v>1190</v>
      </c>
      <c r="J311" s="508"/>
      <c r="K311" s="1427"/>
      <c r="L311" s="152"/>
      <c r="M311" s="279"/>
      <c r="N311" s="272"/>
      <c r="O311" s="1551"/>
      <c r="P311" s="1551"/>
      <c r="AH311" s="1558">
        <v>0</v>
      </c>
    </row>
    <row r="312" spans="1:34" s="1562" customFormat="1" ht="0.75" hidden="1" customHeight="1">
      <c r="A312" s="1706"/>
      <c r="B312" s="1706"/>
      <c r="C312" s="306" t="s">
        <v>1200</v>
      </c>
      <c r="D312" s="3053"/>
      <c r="E312" s="2852"/>
      <c r="F312" s="2991"/>
      <c r="G312" s="337"/>
      <c r="H312" s="1427"/>
      <c r="I312" s="588"/>
      <c r="J312" s="508"/>
      <c r="K312" s="1427"/>
      <c r="L312" s="152"/>
      <c r="M312" s="279"/>
      <c r="N312" s="272"/>
      <c r="O312" s="1551"/>
      <c r="P312" s="1551"/>
      <c r="AH312" s="1558">
        <v>0</v>
      </c>
    </row>
    <row r="313" spans="1:34" s="1562" customFormat="1" ht="18.75" hidden="1" customHeight="1">
      <c r="A313" s="1706" t="s">
        <v>305</v>
      </c>
      <c r="B313" s="1706" t="s">
        <v>306</v>
      </c>
      <c r="C313" s="306"/>
      <c r="D313" s="3053"/>
      <c r="E313" s="2852"/>
      <c r="F313" s="2991" t="str">
        <f>INDEX(PT_DIFFERENTIATION_VTAR,MATCH(A313,PT_DIFFERENTIATION_VTAR_ID,0))</f>
        <v>Тариф на подключение (технологическое присоединение) к централизованной системе горячего водоснабжения</v>
      </c>
      <c r="G313" s="3028" t="str">
        <f>INDEX(PT_DIFFERENTIATION_NTAR,MATCH(B313,PT_DIFFERENTIATION_NTAR_ID,0))</f>
        <v/>
      </c>
      <c r="H313" s="1787"/>
      <c r="I313" s="1665"/>
      <c r="J313" s="1699"/>
      <c r="K313" s="1704"/>
      <c r="L313" s="1787" t="s">
        <v>351</v>
      </c>
      <c r="M313" s="279"/>
      <c r="N313" s="272"/>
      <c r="O313" s="1551"/>
      <c r="P313" s="1551"/>
      <c r="AH313" s="1558">
        <v>0</v>
      </c>
    </row>
    <row r="314" spans="1:34" s="1562" customFormat="1" ht="18.75" hidden="1" customHeight="1">
      <c r="A314" s="1706"/>
      <c r="B314" s="1706"/>
      <c r="C314" s="306" t="s">
        <v>1191</v>
      </c>
      <c r="D314" s="3053"/>
      <c r="E314" s="2852"/>
      <c r="F314" s="2991"/>
      <c r="G314" s="3028"/>
      <c r="H314" s="1427"/>
      <c r="I314" s="588" t="s">
        <v>1190</v>
      </c>
      <c r="J314" s="508"/>
      <c r="K314" s="1427"/>
      <c r="L314" s="152"/>
      <c r="M314" s="279"/>
      <c r="N314" s="272"/>
      <c r="O314" s="1551"/>
      <c r="P314" s="1551"/>
      <c r="AH314" s="1558">
        <v>0</v>
      </c>
    </row>
    <row r="315" spans="1:34" s="1562" customFormat="1" ht="0.75" hidden="1" customHeight="1">
      <c r="A315" s="1706"/>
      <c r="B315" s="1706"/>
      <c r="C315" s="306" t="s">
        <v>1200</v>
      </c>
      <c r="D315" s="3053"/>
      <c r="E315" s="2852"/>
      <c r="F315" s="2991"/>
      <c r="G315" s="337"/>
      <c r="H315" s="1427"/>
      <c r="I315" s="588"/>
      <c r="J315" s="508"/>
      <c r="K315" s="1427"/>
      <c r="L315" s="152"/>
      <c r="M315" s="279"/>
      <c r="N315" s="272"/>
      <c r="O315" s="1551"/>
      <c r="P315" s="1551"/>
      <c r="AH315" s="1558">
        <v>0</v>
      </c>
    </row>
    <row r="316" spans="1:34" s="1562" customFormat="1" ht="18.75" hidden="1" customHeight="1">
      <c r="A316" s="1706" t="s">
        <v>310</v>
      </c>
      <c r="B316" s="1706" t="s">
        <v>311</v>
      </c>
      <c r="C316" s="306"/>
      <c r="D316" s="3053"/>
      <c r="E316" s="2852"/>
      <c r="F316" s="2991" t="str">
        <f>INDEX(PT_DIFFERENTIATION_VTAR,MATCH(A316,PT_DIFFERENTIATION_VTAR_ID,0))</f>
        <v>Тариф на водоотведение</v>
      </c>
      <c r="G316" s="3028" t="str">
        <f>INDEX(PT_DIFFERENTIATION_NTAR,MATCH(B316,PT_DIFFERENTIATION_NTAR_ID,0))</f>
        <v/>
      </c>
      <c r="H316" s="1787"/>
      <c r="I316" s="1665"/>
      <c r="J316" s="1699"/>
      <c r="K316" s="1704"/>
      <c r="L316" s="1787" t="s">
        <v>351</v>
      </c>
      <c r="M316" s="279"/>
      <c r="N316" s="272"/>
      <c r="O316" s="1551"/>
      <c r="P316" s="1551"/>
      <c r="AH316" s="1558">
        <v>0</v>
      </c>
    </row>
    <row r="317" spans="1:34" s="1562" customFormat="1" ht="18.75" hidden="1" customHeight="1">
      <c r="A317" s="1706"/>
      <c r="B317" s="1706"/>
      <c r="C317" s="306" t="s">
        <v>1191</v>
      </c>
      <c r="D317" s="3053"/>
      <c r="E317" s="2852"/>
      <c r="F317" s="2991"/>
      <c r="G317" s="3028"/>
      <c r="H317" s="1427"/>
      <c r="I317" s="588" t="s">
        <v>1190</v>
      </c>
      <c r="J317" s="508"/>
      <c r="K317" s="1427"/>
      <c r="L317" s="152"/>
      <c r="M317" s="279"/>
      <c r="N317" s="272"/>
      <c r="O317" s="1551"/>
      <c r="P317" s="1551"/>
      <c r="AH317" s="1558">
        <v>0</v>
      </c>
    </row>
    <row r="318" spans="1:34" s="1562" customFormat="1" ht="0.75" hidden="1" customHeight="1">
      <c r="A318" s="1706"/>
      <c r="B318" s="1706"/>
      <c r="C318" s="306" t="s">
        <v>1200</v>
      </c>
      <c r="D318" s="3053"/>
      <c r="E318" s="2852"/>
      <c r="F318" s="2991"/>
      <c r="G318" s="337"/>
      <c r="H318" s="1427"/>
      <c r="I318" s="588"/>
      <c r="J318" s="508"/>
      <c r="K318" s="1427"/>
      <c r="L318" s="152"/>
      <c r="M318" s="279"/>
      <c r="N318" s="272"/>
      <c r="O318" s="1551"/>
      <c r="P318" s="1551"/>
      <c r="AH318" s="1558">
        <v>0</v>
      </c>
    </row>
    <row r="319" spans="1:34" s="1562" customFormat="1" ht="18.75" hidden="1" customHeight="1">
      <c r="A319" s="1706" t="s">
        <v>315</v>
      </c>
      <c r="B319" s="1706" t="s">
        <v>316</v>
      </c>
      <c r="C319" s="306"/>
      <c r="D319" s="3053"/>
      <c r="E319" s="2852"/>
      <c r="F319" s="2991" t="str">
        <f>INDEX(PT_DIFFERENTIATION_VTAR,MATCH(A319,PT_DIFFERENTIATION_VTAR_ID,0))</f>
        <v>Тариф на транспортировку сточных вод</v>
      </c>
      <c r="G319" s="3028" t="str">
        <f>INDEX(PT_DIFFERENTIATION_NTAR,MATCH(B319,PT_DIFFERENTIATION_NTAR_ID,0))</f>
        <v/>
      </c>
      <c r="H319" s="1787"/>
      <c r="I319" s="1665"/>
      <c r="J319" s="1699"/>
      <c r="K319" s="1704"/>
      <c r="L319" s="1787" t="s">
        <v>351</v>
      </c>
      <c r="M319" s="279"/>
      <c r="N319" s="272"/>
      <c r="O319" s="1551"/>
      <c r="P319" s="1551"/>
      <c r="AH319" s="1558">
        <v>0</v>
      </c>
    </row>
    <row r="320" spans="1:34" s="1562" customFormat="1" ht="18.75" hidden="1" customHeight="1">
      <c r="A320" s="1706"/>
      <c r="B320" s="1706"/>
      <c r="C320" s="306" t="s">
        <v>1191</v>
      </c>
      <c r="D320" s="3053"/>
      <c r="E320" s="2852"/>
      <c r="F320" s="2991"/>
      <c r="G320" s="3028"/>
      <c r="H320" s="1427"/>
      <c r="I320" s="588" t="s">
        <v>1190</v>
      </c>
      <c r="J320" s="508"/>
      <c r="K320" s="1427"/>
      <c r="L320" s="152"/>
      <c r="M320" s="279"/>
      <c r="N320" s="272"/>
      <c r="O320" s="1551"/>
      <c r="P320" s="1551"/>
      <c r="AH320" s="1558">
        <v>0</v>
      </c>
    </row>
    <row r="321" spans="1:34" s="1562" customFormat="1" ht="0.75" hidden="1" customHeight="1">
      <c r="A321" s="1706"/>
      <c r="B321" s="1706"/>
      <c r="C321" s="306" t="s">
        <v>1200</v>
      </c>
      <c r="D321" s="3053"/>
      <c r="E321" s="2852"/>
      <c r="F321" s="2991"/>
      <c r="G321" s="337"/>
      <c r="H321" s="1427"/>
      <c r="I321" s="588"/>
      <c r="J321" s="508"/>
      <c r="K321" s="1427"/>
      <c r="L321" s="152"/>
      <c r="M321" s="279"/>
      <c r="N321" s="272"/>
      <c r="O321" s="1551"/>
      <c r="P321" s="1551"/>
      <c r="AH321" s="1558">
        <v>0</v>
      </c>
    </row>
    <row r="322" spans="1:34" s="1562" customFormat="1" ht="18.75" hidden="1" customHeight="1">
      <c r="A322" s="1706" t="s">
        <v>320</v>
      </c>
      <c r="B322" s="1706" t="s">
        <v>321</v>
      </c>
      <c r="C322" s="306"/>
      <c r="D322" s="3053"/>
      <c r="E322" s="2852"/>
      <c r="F322" s="2991" t="str">
        <f>INDEX(PT_DIFFERENTIATION_VTAR,MATCH(A322,PT_DIFFERENTIATION_VTAR_ID,0))</f>
        <v>Тариф на подключение (технологическое присоединение) к централизованной системе водоотведения</v>
      </c>
      <c r="G322" s="3028" t="str">
        <f>INDEX(PT_DIFFERENTIATION_NTAR,MATCH(B322,PT_DIFFERENTIATION_NTAR_ID,0))</f>
        <v/>
      </c>
      <c r="H322" s="1787"/>
      <c r="I322" s="1665"/>
      <c r="J322" s="1699"/>
      <c r="K322" s="1704"/>
      <c r="L322" s="1787" t="s">
        <v>351</v>
      </c>
      <c r="M322" s="279"/>
      <c r="N322" s="272"/>
      <c r="O322" s="1551"/>
      <c r="P322" s="1551"/>
      <c r="AH322" s="1558">
        <v>0</v>
      </c>
    </row>
    <row r="323" spans="1:34" s="1562" customFormat="1" ht="8.25" hidden="1" customHeight="1">
      <c r="A323" s="1706"/>
      <c r="B323" s="1706"/>
      <c r="C323" s="306" t="s">
        <v>1191</v>
      </c>
      <c r="D323" s="3053"/>
      <c r="E323" s="2852"/>
      <c r="F323" s="2991"/>
      <c r="G323" s="3028"/>
      <c r="H323" s="1427"/>
      <c r="I323" s="588" t="s">
        <v>1190</v>
      </c>
      <c r="J323" s="508"/>
      <c r="K323" s="1427"/>
      <c r="L323" s="152"/>
      <c r="M323" s="279"/>
      <c r="N323" s="272"/>
      <c r="O323" s="1551"/>
      <c r="P323" s="1551"/>
      <c r="AH323" s="1558">
        <v>0</v>
      </c>
    </row>
    <row r="324" spans="1:34" s="1562" customFormat="1" ht="0.75" customHeight="1">
      <c r="A324" s="1706"/>
      <c r="B324" s="1706"/>
      <c r="C324" s="306" t="s">
        <v>1200</v>
      </c>
      <c r="D324" s="3053"/>
      <c r="E324" s="2852"/>
      <c r="F324" s="2991"/>
      <c r="G324" s="337"/>
      <c r="H324" s="1427"/>
      <c r="I324" s="588"/>
      <c r="J324" s="508"/>
      <c r="K324" s="1427"/>
      <c r="L324" s="152"/>
      <c r="M324" s="279"/>
      <c r="N324" s="272"/>
      <c r="O324" s="1551"/>
      <c r="P324" s="1551"/>
      <c r="AH324" s="1558">
        <v>1</v>
      </c>
    </row>
    <row r="325" spans="1:34" ht="27" customHeight="1">
      <c r="A325" s="1706"/>
      <c r="B325" s="1706"/>
      <c r="D325" s="313"/>
      <c r="E325" s="85" t="s">
        <v>97</v>
      </c>
      <c r="F325" s="3052" t="str">
        <f>"Размер экономически обоснованных расходов, не учтенных при установлении "&amp;IF(TEMPLATE_SPHERE="HEAT","регулируемых цен (тарифов)","тарифов")&amp;" в предыдущий период регулирования (при их наличии), "&amp;IF(TEMPLATE_SPHERE="HEAT","определенном в соответствии с законодательством в сфере теплоснабжения","определенных в соответствии с Основами ценообразования в сфере водоснабжения и водоотведения")</f>
        <v>Размер экономически обоснованных расходов, не учтенных при установлении регулируемых цен (тарифов) в предыдущий период регулирования (при их наличии), определенном в соответствии с законодательством в сфере теплоснабжения</v>
      </c>
      <c r="G325" s="3052"/>
      <c r="H325" s="3052"/>
      <c r="I325" s="3052"/>
      <c r="J325" s="3052"/>
      <c r="K325" s="3052"/>
      <c r="L325" s="3052"/>
      <c r="M325" s="235"/>
      <c r="N325" s="272"/>
      <c r="AH325" s="311">
        <v>26</v>
      </c>
    </row>
    <row r="326" spans="1:34" s="1562" customFormat="1" ht="60.75" hidden="1" customHeight="1">
      <c r="A326" s="1706" t="s">
        <v>160</v>
      </c>
      <c r="B326" s="1706" t="s">
        <v>161</v>
      </c>
      <c r="C326" s="306"/>
      <c r="D326" s="3053"/>
      <c r="E326" s="2852"/>
      <c r="F326" s="2991" t="str">
        <f>INDEX(PT_DIFFERENTIATION_VTAR,MATCH(A326,PT_DIFFERENTIATION_VTAR_ID,0))</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G326" s="3028" t="str">
        <f>INDEX(PT_DIFFERENTIATION_NTAR,MATCH(B326,PT_DIFFERENTIATION_NTAR_ID,0))</f>
        <v/>
      </c>
      <c r="H326" s="1787"/>
      <c r="I326" s="1665"/>
      <c r="J326" s="1699"/>
      <c r="K326" s="1704"/>
      <c r="L326" s="1787" t="s">
        <v>351</v>
      </c>
      <c r="M326" s="2802" t="str">
        <f>"Значение в колонке «Вид тарифа» выбирается из перечня видов тарифов в сфере "&amp;TEMPLATE_SPHERE_RUS&amp;", предусмотренных законодательством в сфере "&amp;IF(TEMPLATE_SPHERE="HEAT","теплоснабжения","водоснабжения и водоотведения")&amp;".
Даты начала и окончания срока действия тарифов указываются в виде «ДД.ММ.ГГГГ».
"&amp;"Величина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"&amp;"В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"&amp;"В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f>
        <v>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срока действия тарифов указываются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водоснабжения и водоотведения, указывается значение «0».
В случае дифференциации экономически обоснованных расходов по видам тарифов и/или по срокам действия тарифов информация указывается в отдельных строках.</v>
      </c>
      <c r="N326" s="272"/>
      <c r="O326" s="1551"/>
      <c r="P326" s="1551"/>
      <c r="AH326" s="1558">
        <v>0</v>
      </c>
    </row>
    <row r="327" spans="1:34" s="1562" customFormat="1" ht="18.75" hidden="1" customHeight="1">
      <c r="A327" s="1706"/>
      <c r="B327" s="1706"/>
      <c r="C327" s="306" t="s">
        <v>1191</v>
      </c>
      <c r="D327" s="3053"/>
      <c r="E327" s="2852"/>
      <c r="F327" s="2991"/>
      <c r="G327" s="3028"/>
      <c r="H327" s="1427"/>
      <c r="I327" s="588" t="s">
        <v>1190</v>
      </c>
      <c r="J327" s="508"/>
      <c r="K327" s="1427"/>
      <c r="L327" s="152"/>
      <c r="M327" s="2803"/>
      <c r="N327" s="272"/>
      <c r="O327" s="1551"/>
      <c r="P327" s="1551"/>
      <c r="AH327" s="1558">
        <v>0</v>
      </c>
    </row>
    <row r="328" spans="1:34" s="1562" customFormat="1" ht="0.75" hidden="1" customHeight="1">
      <c r="A328" s="1706"/>
      <c r="B328" s="1706"/>
      <c r="C328" s="306" t="s">
        <v>1200</v>
      </c>
      <c r="D328" s="3053"/>
      <c r="E328" s="2852"/>
      <c r="F328" s="2991"/>
      <c r="G328" s="337"/>
      <c r="H328" s="1427"/>
      <c r="I328" s="588"/>
      <c r="J328" s="508"/>
      <c r="K328" s="1427"/>
      <c r="L328" s="152"/>
      <c r="M328" s="2803"/>
      <c r="N328" s="272"/>
      <c r="O328" s="1551"/>
      <c r="P328" s="1551"/>
      <c r="AH328" s="1558">
        <v>0</v>
      </c>
    </row>
    <row r="329" spans="1:34" s="1562" customFormat="1" ht="119.25" customHeight="1">
      <c r="A329" s="1706" t="s">
        <v>168</v>
      </c>
      <c r="B329" s="1706" t="s">
        <v>169</v>
      </c>
      <c r="C329" s="306"/>
      <c r="D329" s="3053"/>
      <c r="E329" s="2852"/>
      <c r="F329" s="2991" t="str">
        <f>INDEX(PT_DIFFERENTIATION_VTAR,MATCH(A329,PT_DIFFERENTIATION_VTAR_ID,0))</f>
        <v>Тарифы на тепловую энергию (мощность), поставляемую теплоснабжающими организациями потребителям, другим теплоснабжающим организациям</v>
      </c>
      <c r="G329" s="3028" t="str">
        <f>INDEX(PT_DIFFERENTIATION_NTAR,MATCH(B329,PT_DIFFERENTIATION_NTAR_ID,0))</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H329" s="1787"/>
      <c r="I329" s="1665" t="s">
        <v>22</v>
      </c>
      <c r="J329" s="1699" t="s">
        <v>26</v>
      </c>
      <c r="K329" s="1704">
        <v>0</v>
      </c>
      <c r="L329" s="1787" t="s">
        <v>351</v>
      </c>
      <c r="M329" s="2804"/>
      <c r="N329" s="272"/>
      <c r="O329" s="1551"/>
      <c r="P329" s="1551"/>
      <c r="AH329" s="1558">
        <v>0</v>
      </c>
    </row>
    <row r="330" spans="1:34" s="1562" customFormat="1" ht="27" customHeight="1">
      <c r="A330" s="1706"/>
      <c r="B330" s="1706"/>
      <c r="C330" s="306" t="s">
        <v>1191</v>
      </c>
      <c r="D330" s="3053"/>
      <c r="E330" s="2852"/>
      <c r="F330" s="2991"/>
      <c r="G330" s="3028"/>
      <c r="H330" s="1427"/>
      <c r="I330" s="588" t="s">
        <v>1190</v>
      </c>
      <c r="J330" s="508"/>
      <c r="K330" s="1427"/>
      <c r="L330" s="152"/>
      <c r="M330" s="1786"/>
      <c r="N330" s="272"/>
      <c r="O330" s="1551"/>
      <c r="P330" s="1551"/>
      <c r="AH330" s="1558">
        <v>0</v>
      </c>
    </row>
    <row r="331" spans="1:34" s="1562" customFormat="1" ht="18.75" customHeight="1">
      <c r="A331" s="1748" t="s">
        <v>168</v>
      </c>
      <c r="B331" s="1748" t="s">
        <v>180</v>
      </c>
      <c r="C331" s="1614"/>
      <c r="D331" s="3054"/>
      <c r="E331" s="3055"/>
      <c r="F331" s="3055"/>
      <c r="G331" s="3028" t="str">
        <f>INDEX(PT_DIFFERENTIATION_NTAR,MATCH(B331,PT_DIFFERENTIATION_NTAR_ID,0))</f>
        <v>Тарифы на тепловую энергию, поставляемую потребителям г. Тюмени от котельной, расположенной по адресу: г. Тюмень, ул. Дружбы, 132, строение 2 (Котельная № 5)</v>
      </c>
      <c r="H331" s="2002"/>
      <c r="I331" s="1665" t="s">
        <v>22</v>
      </c>
      <c r="J331" s="1699" t="s">
        <v>26</v>
      </c>
      <c r="K331" s="1704">
        <v>0</v>
      </c>
      <c r="L331" s="2002" t="s">
        <v>351</v>
      </c>
      <c r="M331" s="2005"/>
      <c r="N331" s="555"/>
      <c r="O331" s="1551"/>
      <c r="P331" s="1551"/>
      <c r="AH331" s="1562">
        <v>0</v>
      </c>
    </row>
    <row r="332" spans="1:34" s="1562" customFormat="1" ht="45" customHeight="1">
      <c r="A332" s="1748"/>
      <c r="B332" s="1748"/>
      <c r="C332" s="1614" t="s">
        <v>1191</v>
      </c>
      <c r="D332" s="3054"/>
      <c r="E332" s="3055"/>
      <c r="F332" s="3055"/>
      <c r="G332" s="3028"/>
      <c r="H332" s="2687"/>
      <c r="I332" s="2688" t="s">
        <v>1190</v>
      </c>
      <c r="J332" s="2689"/>
      <c r="K332" s="2690"/>
      <c r="L332" s="2691"/>
      <c r="M332" s="2005"/>
      <c r="N332" s="555"/>
      <c r="O332" s="1551"/>
      <c r="P332" s="1551"/>
      <c r="AH332" s="1562">
        <v>0</v>
      </c>
    </row>
    <row r="333" spans="1:34" s="1562" customFormat="1" ht="18.75" customHeight="1">
      <c r="A333" s="1748" t="s">
        <v>168</v>
      </c>
      <c r="B333" s="1748" t="s">
        <v>184</v>
      </c>
      <c r="C333" s="1614"/>
      <c r="D333" s="3054"/>
      <c r="E333" s="3055"/>
      <c r="F333" s="3055"/>
      <c r="G333" s="3028" t="str">
        <f>INDEX(PT_DIFFERENTIATION_NTAR,MATCH(B333,PT_DIFFERENTIATION_NTAR_ID,0))</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H333" s="2002"/>
      <c r="I333" s="1665" t="s">
        <v>22</v>
      </c>
      <c r="J333" s="1699" t="s">
        <v>26</v>
      </c>
      <c r="K333" s="1704">
        <v>0</v>
      </c>
      <c r="L333" s="2002" t="s">
        <v>351</v>
      </c>
      <c r="M333" s="2005"/>
      <c r="N333" s="555"/>
      <c r="O333" s="1551"/>
      <c r="P333" s="1551"/>
      <c r="AH333" s="1562">
        <v>0</v>
      </c>
    </row>
    <row r="334" spans="1:34" s="1562" customFormat="1" ht="42.75" customHeight="1">
      <c r="A334" s="1748"/>
      <c r="B334" s="1748"/>
      <c r="C334" s="1614" t="s">
        <v>1191</v>
      </c>
      <c r="D334" s="3054"/>
      <c r="E334" s="3055"/>
      <c r="F334" s="3055"/>
      <c r="G334" s="3028"/>
      <c r="H334" s="2692"/>
      <c r="I334" s="2693" t="s">
        <v>1190</v>
      </c>
      <c r="J334" s="2694"/>
      <c r="K334" s="2695"/>
      <c r="L334" s="2696"/>
      <c r="M334" s="2005"/>
      <c r="N334" s="555"/>
      <c r="O334" s="1551"/>
      <c r="P334" s="1551"/>
      <c r="AH334" s="1562">
        <v>0</v>
      </c>
    </row>
    <row r="335" spans="1:34" s="1562" customFormat="1" ht="18.75" customHeight="1">
      <c r="A335" s="1748" t="s">
        <v>168</v>
      </c>
      <c r="B335" s="1748" t="s">
        <v>188</v>
      </c>
      <c r="C335" s="1614"/>
      <c r="D335" s="3054"/>
      <c r="E335" s="3055"/>
      <c r="F335" s="3055"/>
      <c r="G335" s="3028" t="str">
        <f>INDEX(PT_DIFFERENTIATION_NTAR,MATCH(B335,PT_DIFFERENTIATION_NTAR_ID,0))</f>
        <v>Тарифы на тепловую энергию, поставляемую потребителям г. Тюмени от котельной, расположенной по адресу: г.Тюмень, ул. Луначарского, 18, строение 1 (Котельная № 7)</v>
      </c>
      <c r="H335" s="2002"/>
      <c r="I335" s="1665" t="s">
        <v>22</v>
      </c>
      <c r="J335" s="1699" t="s">
        <v>26</v>
      </c>
      <c r="K335" s="1704">
        <v>0</v>
      </c>
      <c r="L335" s="2002" t="s">
        <v>351</v>
      </c>
      <c r="M335" s="2005"/>
      <c r="N335" s="555"/>
      <c r="O335" s="1551"/>
      <c r="P335" s="1551"/>
      <c r="AH335" s="1562">
        <v>0</v>
      </c>
    </row>
    <row r="336" spans="1:34" s="1562" customFormat="1" ht="50.25" customHeight="1">
      <c r="A336" s="1748"/>
      <c r="B336" s="1748"/>
      <c r="C336" s="1614" t="s">
        <v>1191</v>
      </c>
      <c r="D336" s="3054"/>
      <c r="E336" s="3055"/>
      <c r="F336" s="3055"/>
      <c r="G336" s="3028"/>
      <c r="H336" s="2697"/>
      <c r="I336" s="2698" t="s">
        <v>1190</v>
      </c>
      <c r="J336" s="2699"/>
      <c r="K336" s="2700"/>
      <c r="L336" s="2701"/>
      <c r="M336" s="2005"/>
      <c r="N336" s="555"/>
      <c r="O336" s="1551"/>
      <c r="P336" s="1551"/>
      <c r="AH336" s="1562">
        <v>0</v>
      </c>
    </row>
    <row r="337" spans="1:34" s="1562" customFormat="1" ht="18.75" customHeight="1">
      <c r="A337" s="1748" t="s">
        <v>168</v>
      </c>
      <c r="B337" s="1748" t="s">
        <v>193</v>
      </c>
      <c r="C337" s="1614"/>
      <c r="D337" s="3054"/>
      <c r="E337" s="3055"/>
      <c r="F337" s="3055"/>
      <c r="G337" s="3028" t="str">
        <f>INDEX(PT_DIFFERENTIATION_NTAR,MATCH(B337,PT_DIFFERENTIATION_NTAR_ID,0))</f>
        <v>Тарифы на тепловую энергию, поставляемую потребителям г. Тюмени от котельной, расположенной по адресу: г.Тюмень, ул. Февральский проезд, 2 (Котельная № 10)</v>
      </c>
      <c r="H337" s="2002"/>
      <c r="I337" s="1665" t="s">
        <v>22</v>
      </c>
      <c r="J337" s="1699" t="s">
        <v>26</v>
      </c>
      <c r="K337" s="1704">
        <v>0</v>
      </c>
      <c r="L337" s="2002" t="s">
        <v>351</v>
      </c>
      <c r="M337" s="2005"/>
      <c r="N337" s="555"/>
      <c r="O337" s="1551"/>
      <c r="P337" s="1551"/>
      <c r="AH337" s="1562">
        <v>0</v>
      </c>
    </row>
    <row r="338" spans="1:34" s="1562" customFormat="1" ht="42" customHeight="1">
      <c r="A338" s="1748"/>
      <c r="B338" s="1748"/>
      <c r="C338" s="1614" t="s">
        <v>1191</v>
      </c>
      <c r="D338" s="3054"/>
      <c r="E338" s="3055"/>
      <c r="F338" s="3055"/>
      <c r="G338" s="3028"/>
      <c r="H338" s="2702"/>
      <c r="I338" s="2703" t="s">
        <v>1190</v>
      </c>
      <c r="J338" s="2704"/>
      <c r="K338" s="2705"/>
      <c r="L338" s="2706"/>
      <c r="M338" s="2005"/>
      <c r="N338" s="555"/>
      <c r="O338" s="1551"/>
      <c r="P338" s="1551"/>
      <c r="AH338" s="1562">
        <v>0</v>
      </c>
    </row>
    <row r="339" spans="1:34" s="1562" customFormat="1" ht="18.75" customHeight="1">
      <c r="A339" s="1748" t="s">
        <v>168</v>
      </c>
      <c r="B339" s="1748" t="s">
        <v>198</v>
      </c>
      <c r="C339" s="1614"/>
      <c r="D339" s="3054"/>
      <c r="E339" s="3055"/>
      <c r="F339" s="3055"/>
      <c r="G339" s="3028" t="str">
        <f>INDEX(PT_DIFFERENTIATION_NTAR,MATCH(B339,PT_DIFFERENTIATION_NTAR_ID,0))</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H339" s="2002"/>
      <c r="I339" s="1665" t="s">
        <v>22</v>
      </c>
      <c r="J339" s="1699" t="s">
        <v>26</v>
      </c>
      <c r="K339" s="1704">
        <v>0</v>
      </c>
      <c r="L339" s="2002" t="s">
        <v>351</v>
      </c>
      <c r="M339" s="2005"/>
      <c r="N339" s="555"/>
      <c r="O339" s="1551"/>
      <c r="P339" s="1551"/>
      <c r="AH339" s="1562">
        <v>0</v>
      </c>
    </row>
    <row r="340" spans="1:34" s="1562" customFormat="1" ht="66.75" customHeight="1">
      <c r="A340" s="1748"/>
      <c r="B340" s="1748"/>
      <c r="C340" s="1614" t="s">
        <v>1191</v>
      </c>
      <c r="D340" s="3054"/>
      <c r="E340" s="3055"/>
      <c r="F340" s="3055"/>
      <c r="G340" s="3028"/>
      <c r="H340" s="2707"/>
      <c r="I340" s="2708" t="s">
        <v>1190</v>
      </c>
      <c r="J340" s="2709"/>
      <c r="K340" s="2710"/>
      <c r="L340" s="2711"/>
      <c r="M340" s="2005"/>
      <c r="N340" s="555"/>
      <c r="O340" s="1551"/>
      <c r="P340" s="1551"/>
      <c r="AH340" s="1562">
        <v>0</v>
      </c>
    </row>
    <row r="341" spans="1:34" s="1562" customFormat="1" ht="18.75" customHeight="1">
      <c r="A341" s="1748" t="s">
        <v>168</v>
      </c>
      <c r="B341" s="1748" t="s">
        <v>203</v>
      </c>
      <c r="C341" s="1614"/>
      <c r="D341" s="3054"/>
      <c r="E341" s="3055"/>
      <c r="F341" s="3055"/>
      <c r="G341" s="3028" t="str">
        <f>INDEX(PT_DIFFERENTIATION_NTAR,MATCH(B341,PT_DIFFERENTIATION_NTAR_ID,0))</f>
        <v>Тарифы на тепловую энергию, поставляемую потребителям г. Тюмени от котельной, расположенной по адресу: г.Тюмень, ул. Сказочная, 26, строение 2 (Котельная № 14)</v>
      </c>
      <c r="H341" s="2002"/>
      <c r="I341" s="1665" t="s">
        <v>22</v>
      </c>
      <c r="J341" s="1699" t="s">
        <v>26</v>
      </c>
      <c r="K341" s="1704">
        <v>0</v>
      </c>
      <c r="L341" s="2002" t="s">
        <v>351</v>
      </c>
      <c r="M341" s="2005"/>
      <c r="N341" s="555"/>
      <c r="O341" s="1551"/>
      <c r="P341" s="1551"/>
      <c r="AH341" s="1562">
        <v>0</v>
      </c>
    </row>
    <row r="342" spans="1:34" s="1562" customFormat="1" ht="40.5" customHeight="1">
      <c r="A342" s="1748"/>
      <c r="B342" s="1748"/>
      <c r="C342" s="1614" t="s">
        <v>1191</v>
      </c>
      <c r="D342" s="3054"/>
      <c r="E342" s="3055"/>
      <c r="F342" s="3055"/>
      <c r="G342" s="3028"/>
      <c r="H342" s="2712"/>
      <c r="I342" s="2713" t="s">
        <v>1190</v>
      </c>
      <c r="J342" s="2714"/>
      <c r="K342" s="2715"/>
      <c r="L342" s="2716"/>
      <c r="M342" s="2005"/>
      <c r="N342" s="555"/>
      <c r="O342" s="1551"/>
      <c r="P342" s="1551"/>
      <c r="AH342" s="1562">
        <v>0</v>
      </c>
    </row>
    <row r="343" spans="1:34" s="1562" customFormat="1" ht="18.75" customHeight="1">
      <c r="A343" s="1748" t="s">
        <v>168</v>
      </c>
      <c r="B343" s="1748" t="s">
        <v>208</v>
      </c>
      <c r="C343" s="1614"/>
      <c r="D343" s="3054"/>
      <c r="E343" s="3055"/>
      <c r="F343" s="3055"/>
      <c r="G343" s="3028" t="str">
        <f>INDEX(PT_DIFFERENTIATION_NTAR,MATCH(B343,PT_DIFFERENTIATION_NTAR_ID,0))</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H343" s="2002"/>
      <c r="I343" s="1665" t="s">
        <v>22</v>
      </c>
      <c r="J343" s="1699" t="s">
        <v>26</v>
      </c>
      <c r="K343" s="1704">
        <v>0</v>
      </c>
      <c r="L343" s="2002" t="s">
        <v>351</v>
      </c>
      <c r="M343" s="2005"/>
      <c r="N343" s="555"/>
      <c r="O343" s="1551"/>
      <c r="P343" s="1551"/>
      <c r="AH343" s="1562">
        <v>0</v>
      </c>
    </row>
    <row r="344" spans="1:34" s="1562" customFormat="1" ht="45.75" customHeight="1">
      <c r="A344" s="1748"/>
      <c r="B344" s="1748"/>
      <c r="C344" s="1614" t="s">
        <v>1191</v>
      </c>
      <c r="D344" s="3054"/>
      <c r="E344" s="3055"/>
      <c r="F344" s="3055"/>
      <c r="G344" s="3028"/>
      <c r="H344" s="2717"/>
      <c r="I344" s="2718" t="s">
        <v>1190</v>
      </c>
      <c r="J344" s="2719"/>
      <c r="K344" s="2720"/>
      <c r="L344" s="2721"/>
      <c r="M344" s="2005"/>
      <c r="N344" s="555"/>
      <c r="O344" s="1551"/>
      <c r="P344" s="1551"/>
      <c r="AH344" s="1562">
        <v>0</v>
      </c>
    </row>
    <row r="345" spans="1:34" s="1562" customFormat="1" ht="0.75" customHeight="1">
      <c r="A345" s="1706"/>
      <c r="B345" s="1706"/>
      <c r="C345" s="306" t="s">
        <v>1200</v>
      </c>
      <c r="D345" s="3053"/>
      <c r="E345" s="2852"/>
      <c r="F345" s="2991"/>
      <c r="G345" s="337"/>
      <c r="H345" s="1427"/>
      <c r="I345" s="588"/>
      <c r="J345" s="508"/>
      <c r="K345" s="1427"/>
      <c r="L345" s="152"/>
      <c r="M345" s="279"/>
      <c r="N345" s="272"/>
      <c r="O345" s="1551"/>
      <c r="P345" s="1551"/>
      <c r="AH345" s="1558">
        <v>0</v>
      </c>
    </row>
    <row r="346" spans="1:34" s="1562" customFormat="1" ht="45" hidden="1" customHeight="1">
      <c r="A346" s="1706" t="s">
        <v>214</v>
      </c>
      <c r="B346" s="1706" t="s">
        <v>215</v>
      </c>
      <c r="C346" s="306"/>
      <c r="D346" s="3053"/>
      <c r="E346" s="2852"/>
      <c r="F346" s="2991" t="str">
        <f>INDEX(PT_DIFFERENTIATION_VTAR,MATCH(A346,PT_DIFFERENTIATION_VTAR_ID,0))</f>
        <v>Тарифы на теплоноситель, поставляемый теплоснабжающими организациями потребителям, другим теплоснабжающим организациям</v>
      </c>
      <c r="G346" s="3028" t="str">
        <f>INDEX(PT_DIFFERENTIATION_NTAR,MATCH(B346,PT_DIFFERENTIATION_NTAR_ID,0))</f>
        <v/>
      </c>
      <c r="H346" s="1787"/>
      <c r="I346" s="1665"/>
      <c r="J346" s="1699"/>
      <c r="K346" s="1704"/>
      <c r="L346" s="1787" t="s">
        <v>351</v>
      </c>
      <c r="M346" s="279"/>
      <c r="N346" s="272"/>
      <c r="O346" s="1551"/>
      <c r="P346" s="1551"/>
      <c r="AH346" s="1558">
        <v>0</v>
      </c>
    </row>
    <row r="347" spans="1:34" s="1562" customFormat="1" ht="18.75" hidden="1" customHeight="1">
      <c r="A347" s="1706"/>
      <c r="B347" s="1706"/>
      <c r="C347" s="306" t="s">
        <v>1191</v>
      </c>
      <c r="D347" s="3053"/>
      <c r="E347" s="2852"/>
      <c r="F347" s="2991"/>
      <c r="G347" s="3028"/>
      <c r="H347" s="1427"/>
      <c r="I347" s="588" t="s">
        <v>1190</v>
      </c>
      <c r="J347" s="508"/>
      <c r="K347" s="1427"/>
      <c r="L347" s="152"/>
      <c r="M347" s="279"/>
      <c r="N347" s="272"/>
      <c r="O347" s="1551"/>
      <c r="P347" s="1551"/>
      <c r="AH347" s="1558">
        <v>0</v>
      </c>
    </row>
    <row r="348" spans="1:34" s="1562" customFormat="1" ht="0.75" hidden="1" customHeight="1">
      <c r="A348" s="1706"/>
      <c r="B348" s="1706"/>
      <c r="C348" s="306" t="s">
        <v>1200</v>
      </c>
      <c r="D348" s="3053"/>
      <c r="E348" s="2852"/>
      <c r="F348" s="2991"/>
      <c r="G348" s="337"/>
      <c r="H348" s="1427"/>
      <c r="I348" s="588"/>
      <c r="J348" s="508"/>
      <c r="K348" s="1427"/>
      <c r="L348" s="152"/>
      <c r="M348" s="279"/>
      <c r="N348" s="272"/>
      <c r="O348" s="1551"/>
      <c r="P348" s="1551"/>
      <c r="AH348" s="1558">
        <v>0</v>
      </c>
    </row>
    <row r="349" spans="1:34" s="1562" customFormat="1" ht="45" hidden="1" customHeight="1">
      <c r="A349" s="1706" t="s">
        <v>220</v>
      </c>
      <c r="B349" s="1706" t="s">
        <v>221</v>
      </c>
      <c r="C349" s="306"/>
      <c r="D349" s="3053"/>
      <c r="E349" s="2852"/>
      <c r="F349" s="2991" t="str">
        <f>INDEX(PT_DIFFERENTIATION_VTAR,MATCH(A349,PT_DIFFERENTIATION_VTAR_ID,0))</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G349" s="3028" t="str">
        <f>INDEX(PT_DIFFERENTIATION_NTAR,MATCH(B349,PT_DIFFERENTIATION_NTAR_ID,0))</f>
        <v/>
      </c>
      <c r="H349" s="1787"/>
      <c r="I349" s="1665"/>
      <c r="J349" s="1699"/>
      <c r="K349" s="1704"/>
      <c r="L349" s="1787" t="s">
        <v>351</v>
      </c>
      <c r="M349" s="279"/>
      <c r="N349" s="272"/>
      <c r="O349" s="1551"/>
      <c r="P349" s="1551"/>
      <c r="AH349" s="1558">
        <v>0</v>
      </c>
    </row>
    <row r="350" spans="1:34" s="1562" customFormat="1" ht="18.75" hidden="1" customHeight="1">
      <c r="A350" s="1706"/>
      <c r="B350" s="1706"/>
      <c r="C350" s="306" t="s">
        <v>1191</v>
      </c>
      <c r="D350" s="3053"/>
      <c r="E350" s="2852"/>
      <c r="F350" s="2991"/>
      <c r="G350" s="3028"/>
      <c r="H350" s="1427"/>
      <c r="I350" s="588" t="s">
        <v>1190</v>
      </c>
      <c r="J350" s="508"/>
      <c r="K350" s="1427"/>
      <c r="L350" s="152"/>
      <c r="M350" s="279"/>
      <c r="N350" s="272"/>
      <c r="O350" s="1551"/>
      <c r="P350" s="1551"/>
      <c r="AH350" s="1558">
        <v>0</v>
      </c>
    </row>
    <row r="351" spans="1:34" s="1562" customFormat="1" ht="0.75" hidden="1" customHeight="1">
      <c r="A351" s="1706"/>
      <c r="B351" s="1706"/>
      <c r="C351" s="306" t="s">
        <v>1200</v>
      </c>
      <c r="D351" s="3053"/>
      <c r="E351" s="2852"/>
      <c r="F351" s="2991"/>
      <c r="G351" s="337"/>
      <c r="H351" s="1427"/>
      <c r="I351" s="588"/>
      <c r="J351" s="508"/>
      <c r="K351" s="1427"/>
      <c r="L351" s="152"/>
      <c r="M351" s="279"/>
      <c r="N351" s="272"/>
      <c r="O351" s="1551"/>
      <c r="P351" s="1551"/>
      <c r="AH351" s="1558">
        <v>0</v>
      </c>
    </row>
    <row r="352" spans="1:34" s="1562" customFormat="1" ht="18.75" hidden="1" customHeight="1">
      <c r="A352" s="1706" t="s">
        <v>226</v>
      </c>
      <c r="B352" s="1706" t="s">
        <v>227</v>
      </c>
      <c r="C352" s="306"/>
      <c r="D352" s="3053"/>
      <c r="E352" s="2852"/>
      <c r="F352" s="2991" t="str">
        <f>INDEX(PT_DIFFERENTIATION_VTAR,MATCH(A352,PT_DIFFERENTIATION_VTAR_ID,0))</f>
        <v>Тарифы на услуги по передаче тепловой энергии</v>
      </c>
      <c r="G352" s="3028" t="str">
        <f>INDEX(PT_DIFFERENTIATION_NTAR,MATCH(B352,PT_DIFFERENTIATION_NTAR_ID,0))</f>
        <v/>
      </c>
      <c r="H352" s="1787"/>
      <c r="I352" s="1665"/>
      <c r="J352" s="1699"/>
      <c r="K352" s="1704"/>
      <c r="L352" s="1787" t="s">
        <v>351</v>
      </c>
      <c r="M352" s="279"/>
      <c r="N352" s="272"/>
      <c r="O352" s="1551"/>
      <c r="P352" s="1551"/>
      <c r="AH352" s="1558">
        <v>0</v>
      </c>
    </row>
    <row r="353" spans="1:34" s="1562" customFormat="1" ht="18.75" hidden="1" customHeight="1">
      <c r="A353" s="1706"/>
      <c r="B353" s="1706"/>
      <c r="C353" s="306" t="s">
        <v>1191</v>
      </c>
      <c r="D353" s="3053"/>
      <c r="E353" s="2852"/>
      <c r="F353" s="2991"/>
      <c r="G353" s="3028"/>
      <c r="H353" s="1427"/>
      <c r="I353" s="588" t="s">
        <v>1190</v>
      </c>
      <c r="J353" s="508"/>
      <c r="K353" s="1427"/>
      <c r="L353" s="152"/>
      <c r="M353" s="279"/>
      <c r="N353" s="272"/>
      <c r="O353" s="1551"/>
      <c r="P353" s="1551"/>
      <c r="AH353" s="1558">
        <v>0</v>
      </c>
    </row>
    <row r="354" spans="1:34" s="1562" customFormat="1" ht="0.75" hidden="1" customHeight="1">
      <c r="A354" s="1706"/>
      <c r="B354" s="1706"/>
      <c r="C354" s="306" t="s">
        <v>1200</v>
      </c>
      <c r="D354" s="3053"/>
      <c r="E354" s="2852"/>
      <c r="F354" s="2991"/>
      <c r="G354" s="337"/>
      <c r="H354" s="1427"/>
      <c r="I354" s="588"/>
      <c r="J354" s="508"/>
      <c r="K354" s="1427"/>
      <c r="L354" s="152"/>
      <c r="M354" s="279"/>
      <c r="N354" s="272"/>
      <c r="O354" s="1551"/>
      <c r="P354" s="1551"/>
      <c r="AH354" s="1558">
        <v>0</v>
      </c>
    </row>
    <row r="355" spans="1:34" s="1562" customFormat="1" ht="18.75" hidden="1" customHeight="1">
      <c r="A355" s="1706" t="s">
        <v>232</v>
      </c>
      <c r="B355" s="1706" t="s">
        <v>233</v>
      </c>
      <c r="C355" s="306"/>
      <c r="D355" s="3053"/>
      <c r="E355" s="2852"/>
      <c r="F355" s="2991" t="str">
        <f>INDEX(PT_DIFFERENTIATION_VTAR,MATCH(A355,PT_DIFFERENTIATION_VTAR_ID,0))</f>
        <v>Тарифы на услуги по передаче теплоносителя</v>
      </c>
      <c r="G355" s="3028" t="str">
        <f>INDEX(PT_DIFFERENTIATION_NTAR,MATCH(B355,PT_DIFFERENTIATION_NTAR_ID,0))</f>
        <v/>
      </c>
      <c r="H355" s="1787"/>
      <c r="I355" s="1665"/>
      <c r="J355" s="1699"/>
      <c r="K355" s="1704"/>
      <c r="L355" s="1787" t="s">
        <v>351</v>
      </c>
      <c r="M355" s="279"/>
      <c r="N355" s="272"/>
      <c r="O355" s="1551"/>
      <c r="P355" s="1551"/>
      <c r="AH355" s="1558">
        <v>0</v>
      </c>
    </row>
    <row r="356" spans="1:34" s="1562" customFormat="1" ht="18.75" hidden="1" customHeight="1">
      <c r="A356" s="1706"/>
      <c r="B356" s="1706"/>
      <c r="C356" s="306" t="s">
        <v>1191</v>
      </c>
      <c r="D356" s="3053"/>
      <c r="E356" s="2852"/>
      <c r="F356" s="2991"/>
      <c r="G356" s="3028"/>
      <c r="H356" s="1427"/>
      <c r="I356" s="588" t="s">
        <v>1190</v>
      </c>
      <c r="J356" s="508"/>
      <c r="K356" s="1427"/>
      <c r="L356" s="152"/>
      <c r="M356" s="279"/>
      <c r="N356" s="272"/>
      <c r="O356" s="1551"/>
      <c r="P356" s="1551"/>
      <c r="AH356" s="1558">
        <v>0</v>
      </c>
    </row>
    <row r="357" spans="1:34" s="1562" customFormat="1" ht="0.75" hidden="1" customHeight="1">
      <c r="A357" s="1706"/>
      <c r="B357" s="1706"/>
      <c r="C357" s="306" t="s">
        <v>1200</v>
      </c>
      <c r="D357" s="3053"/>
      <c r="E357" s="2852"/>
      <c r="F357" s="2991"/>
      <c r="G357" s="337"/>
      <c r="H357" s="1427"/>
      <c r="I357" s="588"/>
      <c r="J357" s="508"/>
      <c r="K357" s="1427"/>
      <c r="L357" s="152"/>
      <c r="M357" s="279"/>
      <c r="N357" s="272"/>
      <c r="O357" s="1551"/>
      <c r="P357" s="1551"/>
      <c r="AH357" s="1558">
        <v>0</v>
      </c>
    </row>
    <row r="358" spans="1:34" s="1562" customFormat="1" ht="18.75" hidden="1" customHeight="1">
      <c r="A358" s="1706" t="s">
        <v>238</v>
      </c>
      <c r="B358" s="1706" t="s">
        <v>239</v>
      </c>
      <c r="C358" s="306"/>
      <c r="D358" s="3053"/>
      <c r="E358" s="2852"/>
      <c r="F358" s="2991" t="str">
        <f>INDEX(PT_DIFFERENTIATION_VTAR,MATCH(A358,PT_DIFFERENTIATION_VTAR_ID,0))</f>
        <v>Плата за услуги по поддержанию резервной тепловой мощности при отсутствии потребления тепловой энергии</v>
      </c>
      <c r="G358" s="3028" t="str">
        <f>INDEX(PT_DIFFERENTIATION_NTAR,MATCH(B358,PT_DIFFERENTIATION_NTAR_ID,0))</f>
        <v/>
      </c>
      <c r="H358" s="1787"/>
      <c r="I358" s="1665"/>
      <c r="J358" s="1699"/>
      <c r="K358" s="1704"/>
      <c r="L358" s="1787" t="s">
        <v>351</v>
      </c>
      <c r="M358" s="279"/>
      <c r="N358" s="272"/>
      <c r="O358" s="1551"/>
      <c r="P358" s="1551"/>
      <c r="AH358" s="1558">
        <v>0</v>
      </c>
    </row>
    <row r="359" spans="1:34" s="1562" customFormat="1" ht="18.75" hidden="1" customHeight="1">
      <c r="A359" s="1706"/>
      <c r="B359" s="1706"/>
      <c r="C359" s="306" t="s">
        <v>1191</v>
      </c>
      <c r="D359" s="3053"/>
      <c r="E359" s="2852"/>
      <c r="F359" s="2991"/>
      <c r="G359" s="3028"/>
      <c r="H359" s="1427"/>
      <c r="I359" s="588" t="s">
        <v>1190</v>
      </c>
      <c r="J359" s="508"/>
      <c r="K359" s="1427"/>
      <c r="L359" s="152"/>
      <c r="M359" s="279"/>
      <c r="N359" s="272"/>
      <c r="O359" s="1551"/>
      <c r="P359" s="1551"/>
      <c r="AH359" s="1558">
        <v>0</v>
      </c>
    </row>
    <row r="360" spans="1:34" s="1562" customFormat="1" ht="0.75" hidden="1" customHeight="1">
      <c r="A360" s="1706"/>
      <c r="B360" s="1706"/>
      <c r="C360" s="306" t="s">
        <v>1200</v>
      </c>
      <c r="D360" s="3053"/>
      <c r="E360" s="2852"/>
      <c r="F360" s="2991"/>
      <c r="G360" s="337"/>
      <c r="H360" s="1427"/>
      <c r="I360" s="588"/>
      <c r="J360" s="508"/>
      <c r="K360" s="1427"/>
      <c r="L360" s="152"/>
      <c r="M360" s="279"/>
      <c r="N360" s="272"/>
      <c r="O360" s="1551"/>
      <c r="P360" s="1551"/>
      <c r="AH360" s="1558">
        <v>0</v>
      </c>
    </row>
    <row r="361" spans="1:34" s="1562" customFormat="1" ht="18.75" hidden="1" customHeight="1">
      <c r="A361" s="1706" t="s">
        <v>244</v>
      </c>
      <c r="B361" s="1706" t="s">
        <v>245</v>
      </c>
      <c r="C361" s="306"/>
      <c r="D361" s="3053"/>
      <c r="E361" s="2852"/>
      <c r="F361" s="2991" t="str">
        <f>INDEX(PT_DIFFERENTIATION_VTAR,MATCH(A361,PT_DIFFERENTIATION_VTAR_ID,0))</f>
        <v>Плата за подключение (технологическое присоединение) к системе теплоснабжения</v>
      </c>
      <c r="G361" s="3028" t="str">
        <f>INDEX(PT_DIFFERENTIATION_NTAR,MATCH(B361,PT_DIFFERENTIATION_NTAR_ID,0))</f>
        <v/>
      </c>
      <c r="H361" s="1787"/>
      <c r="I361" s="1665"/>
      <c r="J361" s="1699"/>
      <c r="K361" s="1704"/>
      <c r="L361" s="1787" t="s">
        <v>351</v>
      </c>
      <c r="M361" s="279"/>
      <c r="N361" s="272"/>
      <c r="O361" s="1551"/>
      <c r="P361" s="1551"/>
      <c r="AH361" s="1558">
        <v>0</v>
      </c>
    </row>
    <row r="362" spans="1:34" s="1562" customFormat="1" ht="18.75" hidden="1" customHeight="1">
      <c r="A362" s="1706"/>
      <c r="B362" s="1706"/>
      <c r="C362" s="306" t="s">
        <v>1191</v>
      </c>
      <c r="D362" s="3053"/>
      <c r="E362" s="2852"/>
      <c r="F362" s="2991"/>
      <c r="G362" s="3028"/>
      <c r="H362" s="1427"/>
      <c r="I362" s="588" t="s">
        <v>1190</v>
      </c>
      <c r="J362" s="508"/>
      <c r="K362" s="1427"/>
      <c r="L362" s="152"/>
      <c r="M362" s="279"/>
      <c r="N362" s="272"/>
      <c r="O362" s="1551"/>
      <c r="P362" s="1551"/>
      <c r="AH362" s="1558">
        <v>0</v>
      </c>
    </row>
    <row r="363" spans="1:34" s="1562" customFormat="1" ht="0.75" hidden="1" customHeight="1">
      <c r="A363" s="1706"/>
      <c r="B363" s="1706"/>
      <c r="C363" s="306" t="s">
        <v>1200</v>
      </c>
      <c r="D363" s="3053"/>
      <c r="E363" s="2852"/>
      <c r="F363" s="2991"/>
      <c r="G363" s="337"/>
      <c r="H363" s="1427"/>
      <c r="I363" s="588"/>
      <c r="J363" s="508"/>
      <c r="K363" s="1427"/>
      <c r="L363" s="152"/>
      <c r="M363" s="279"/>
      <c r="N363" s="272"/>
      <c r="O363" s="1551"/>
      <c r="P363" s="1551"/>
      <c r="AH363" s="1558">
        <v>0</v>
      </c>
    </row>
    <row r="364" spans="1:34" s="1562" customFormat="1" ht="18.75" hidden="1" customHeight="1">
      <c r="A364" s="1706" t="s">
        <v>250</v>
      </c>
      <c r="B364" s="1706" t="s">
        <v>251</v>
      </c>
      <c r="C364" s="306"/>
      <c r="D364" s="3053"/>
      <c r="E364" s="2852"/>
      <c r="F364" s="2991" t="str">
        <f>INDEX(PT_DIFFERENTIATION_VTAR,MATCH(A364,PT_DIFFERENTIATION_VTAR_ID,0))</f>
        <v>Плата за подключение (технологическое присоединение) к системе теплоснабжения (индивидуальная)</v>
      </c>
      <c r="G364" s="3028" t="str">
        <f>INDEX(PT_DIFFERENTIATION_NTAR,MATCH(B364,PT_DIFFERENTIATION_NTAR_ID,0))</f>
        <v/>
      </c>
      <c r="H364" s="1911"/>
      <c r="I364" s="1665"/>
      <c r="J364" s="1699"/>
      <c r="K364" s="1704"/>
      <c r="L364" s="1911" t="s">
        <v>351</v>
      </c>
      <c r="M364" s="279"/>
      <c r="N364" s="272"/>
      <c r="O364" s="1551"/>
      <c r="P364" s="1551"/>
      <c r="AH364" s="1558">
        <v>0</v>
      </c>
    </row>
    <row r="365" spans="1:34" s="1562" customFormat="1" ht="18.75" hidden="1" customHeight="1">
      <c r="A365" s="1706"/>
      <c r="B365" s="1706"/>
      <c r="C365" s="306" t="s">
        <v>1191</v>
      </c>
      <c r="D365" s="3053"/>
      <c r="E365" s="2852"/>
      <c r="F365" s="2991"/>
      <c r="G365" s="3028"/>
      <c r="H365" s="1427"/>
      <c r="I365" s="588" t="s">
        <v>1190</v>
      </c>
      <c r="J365" s="508"/>
      <c r="K365" s="1427"/>
      <c r="L365" s="152"/>
      <c r="M365" s="279"/>
      <c r="N365" s="272"/>
      <c r="O365" s="1551"/>
      <c r="P365" s="1551"/>
      <c r="AH365" s="1558">
        <v>0</v>
      </c>
    </row>
    <row r="366" spans="1:34" s="1562" customFormat="1" ht="0.75" hidden="1" customHeight="1">
      <c r="A366" s="1706"/>
      <c r="B366" s="1706"/>
      <c r="C366" s="306" t="s">
        <v>1200</v>
      </c>
      <c r="D366" s="3053"/>
      <c r="E366" s="2852"/>
      <c r="F366" s="2991"/>
      <c r="G366" s="337"/>
      <c r="H366" s="1427"/>
      <c r="I366" s="588"/>
      <c r="J366" s="508"/>
      <c r="K366" s="1427"/>
      <c r="L366" s="152"/>
      <c r="M366" s="279"/>
      <c r="N366" s="272"/>
      <c r="O366" s="1551"/>
      <c r="P366" s="1551"/>
      <c r="AH366" s="1558">
        <v>0</v>
      </c>
    </row>
    <row r="367" spans="1:34" s="1562" customFormat="1" ht="18.75" hidden="1" customHeight="1">
      <c r="A367" s="1706" t="s">
        <v>270</v>
      </c>
      <c r="B367" s="1706" t="s">
        <v>271</v>
      </c>
      <c r="C367" s="306"/>
      <c r="D367" s="3053"/>
      <c r="E367" s="2852"/>
      <c r="F367" s="2991" t="str">
        <f>INDEX(PT_DIFFERENTIATION_VTAR,MATCH(A367,PT_DIFFERENTIATION_VTAR_ID,0))</f>
        <v>Тариф на питьевую воду (питьевое водоснабжение)</v>
      </c>
      <c r="G367" s="3028" t="str">
        <f>INDEX(PT_DIFFERENTIATION_NTAR,MATCH(B367,PT_DIFFERENTIATION_NTAR_ID,0))</f>
        <v/>
      </c>
      <c r="H367" s="1787"/>
      <c r="I367" s="1665"/>
      <c r="J367" s="1699"/>
      <c r="K367" s="1704"/>
      <c r="L367" s="1787" t="s">
        <v>351</v>
      </c>
      <c r="M367" s="279"/>
      <c r="N367" s="272"/>
      <c r="O367" s="1551"/>
      <c r="P367" s="1551"/>
      <c r="AH367" s="1558">
        <v>0</v>
      </c>
    </row>
    <row r="368" spans="1:34" s="1562" customFormat="1" ht="18.75" hidden="1" customHeight="1">
      <c r="A368" s="1706"/>
      <c r="B368" s="1706"/>
      <c r="C368" s="306" t="s">
        <v>1191</v>
      </c>
      <c r="D368" s="3053"/>
      <c r="E368" s="2852"/>
      <c r="F368" s="2991"/>
      <c r="G368" s="3028"/>
      <c r="H368" s="1427"/>
      <c r="I368" s="588" t="s">
        <v>1190</v>
      </c>
      <c r="J368" s="508"/>
      <c r="K368" s="1427"/>
      <c r="L368" s="152"/>
      <c r="M368" s="279"/>
      <c r="N368" s="272"/>
      <c r="O368" s="1551"/>
      <c r="P368" s="1551"/>
      <c r="AH368" s="1558">
        <v>0</v>
      </c>
    </row>
    <row r="369" spans="1:34" s="1562" customFormat="1" ht="0.75" hidden="1" customHeight="1">
      <c r="A369" s="1706"/>
      <c r="B369" s="1706"/>
      <c r="C369" s="306" t="s">
        <v>1200</v>
      </c>
      <c r="D369" s="3053"/>
      <c r="E369" s="2852"/>
      <c r="F369" s="2991"/>
      <c r="G369" s="337"/>
      <c r="H369" s="1427"/>
      <c r="I369" s="588"/>
      <c r="J369" s="508"/>
      <c r="K369" s="1427"/>
      <c r="L369" s="152"/>
      <c r="M369" s="279"/>
      <c r="N369" s="272"/>
      <c r="O369" s="1551"/>
      <c r="P369" s="1551"/>
      <c r="AH369" s="1558">
        <v>0</v>
      </c>
    </row>
    <row r="370" spans="1:34" s="1562" customFormat="1" ht="18.75" hidden="1" customHeight="1">
      <c r="A370" s="1706" t="s">
        <v>275</v>
      </c>
      <c r="B370" s="1706" t="s">
        <v>276</v>
      </c>
      <c r="C370" s="306"/>
      <c r="D370" s="3053"/>
      <c r="E370" s="2852"/>
      <c r="F370" s="2991" t="str">
        <f>INDEX(PT_DIFFERENTIATION_VTAR,MATCH(A370,PT_DIFFERENTIATION_VTAR_ID,0))</f>
        <v>Тариф на техническую воду</v>
      </c>
      <c r="G370" s="3028" t="str">
        <f>INDEX(PT_DIFFERENTIATION_NTAR,MATCH(B370,PT_DIFFERENTIATION_NTAR_ID,0))</f>
        <v/>
      </c>
      <c r="H370" s="1787"/>
      <c r="I370" s="1665"/>
      <c r="J370" s="1699"/>
      <c r="K370" s="1704"/>
      <c r="L370" s="1787" t="s">
        <v>351</v>
      </c>
      <c r="M370" s="279"/>
      <c r="N370" s="272"/>
      <c r="O370" s="1551"/>
      <c r="P370" s="1551"/>
      <c r="AH370" s="1558">
        <v>0</v>
      </c>
    </row>
    <row r="371" spans="1:34" s="1562" customFormat="1" ht="18.75" hidden="1" customHeight="1">
      <c r="A371" s="1706"/>
      <c r="B371" s="1706"/>
      <c r="C371" s="306" t="s">
        <v>1191</v>
      </c>
      <c r="D371" s="3053"/>
      <c r="E371" s="2852"/>
      <c r="F371" s="2991"/>
      <c r="G371" s="3028"/>
      <c r="H371" s="1427"/>
      <c r="I371" s="588" t="s">
        <v>1190</v>
      </c>
      <c r="J371" s="508"/>
      <c r="K371" s="1427"/>
      <c r="L371" s="152"/>
      <c r="M371" s="279"/>
      <c r="N371" s="272"/>
      <c r="O371" s="1551"/>
      <c r="P371" s="1551"/>
      <c r="AH371" s="1558">
        <v>0</v>
      </c>
    </row>
    <row r="372" spans="1:34" s="1562" customFormat="1" ht="0.75" hidden="1" customHeight="1">
      <c r="A372" s="1706"/>
      <c r="B372" s="1706"/>
      <c r="C372" s="306" t="s">
        <v>1200</v>
      </c>
      <c r="D372" s="3053"/>
      <c r="E372" s="2852"/>
      <c r="F372" s="2991"/>
      <c r="G372" s="337"/>
      <c r="H372" s="1427"/>
      <c r="I372" s="588"/>
      <c r="J372" s="508"/>
      <c r="K372" s="1427"/>
      <c r="L372" s="152"/>
      <c r="M372" s="279"/>
      <c r="N372" s="272"/>
      <c r="O372" s="1551"/>
      <c r="P372" s="1551"/>
      <c r="AH372" s="1558">
        <v>0</v>
      </c>
    </row>
    <row r="373" spans="1:34" s="1562" customFormat="1" ht="18.75" hidden="1" customHeight="1">
      <c r="A373" s="1706" t="s">
        <v>280</v>
      </c>
      <c r="B373" s="1706" t="s">
        <v>281</v>
      </c>
      <c r="C373" s="306"/>
      <c r="D373" s="3053"/>
      <c r="E373" s="2852"/>
      <c r="F373" s="2991" t="str">
        <f>INDEX(PT_DIFFERENTIATION_VTAR,MATCH(A373,PT_DIFFERENTIATION_VTAR_ID,0))</f>
        <v>Тариф на транспортировку воды</v>
      </c>
      <c r="G373" s="3028" t="str">
        <f>INDEX(PT_DIFFERENTIATION_NTAR,MATCH(B373,PT_DIFFERENTIATION_NTAR_ID,0))</f>
        <v/>
      </c>
      <c r="H373" s="1787"/>
      <c r="I373" s="1665"/>
      <c r="J373" s="1699"/>
      <c r="K373" s="1704"/>
      <c r="L373" s="1787" t="s">
        <v>351</v>
      </c>
      <c r="M373" s="279"/>
      <c r="N373" s="272"/>
      <c r="O373" s="1551"/>
      <c r="P373" s="1551"/>
      <c r="AH373" s="1558">
        <v>0</v>
      </c>
    </row>
    <row r="374" spans="1:34" s="1562" customFormat="1" ht="18.75" hidden="1" customHeight="1">
      <c r="A374" s="1706"/>
      <c r="B374" s="1706"/>
      <c r="C374" s="306" t="s">
        <v>1191</v>
      </c>
      <c r="D374" s="3053"/>
      <c r="E374" s="2852"/>
      <c r="F374" s="2991"/>
      <c r="G374" s="3028"/>
      <c r="H374" s="1427"/>
      <c r="I374" s="588" t="s">
        <v>1190</v>
      </c>
      <c r="J374" s="508"/>
      <c r="K374" s="1427"/>
      <c r="L374" s="152"/>
      <c r="M374" s="279"/>
      <c r="N374" s="272"/>
      <c r="O374" s="1551"/>
      <c r="P374" s="1551"/>
      <c r="AH374" s="1558">
        <v>0</v>
      </c>
    </row>
    <row r="375" spans="1:34" s="1562" customFormat="1" ht="0.75" hidden="1" customHeight="1">
      <c r="A375" s="1706"/>
      <c r="B375" s="1706"/>
      <c r="C375" s="306" t="s">
        <v>1200</v>
      </c>
      <c r="D375" s="3053"/>
      <c r="E375" s="2852"/>
      <c r="F375" s="2991"/>
      <c r="G375" s="337"/>
      <c r="H375" s="1427"/>
      <c r="I375" s="588"/>
      <c r="J375" s="508"/>
      <c r="K375" s="1427"/>
      <c r="L375" s="152"/>
      <c r="M375" s="279"/>
      <c r="N375" s="272"/>
      <c r="O375" s="1551"/>
      <c r="P375" s="1551"/>
      <c r="AH375" s="1558">
        <v>0</v>
      </c>
    </row>
    <row r="376" spans="1:34" s="1562" customFormat="1" ht="18.75" hidden="1" customHeight="1">
      <c r="A376" s="1706" t="s">
        <v>285</v>
      </c>
      <c r="B376" s="1706" t="s">
        <v>286</v>
      </c>
      <c r="C376" s="306"/>
      <c r="D376" s="3053"/>
      <c r="E376" s="2852"/>
      <c r="F376" s="2991" t="str">
        <f>INDEX(PT_DIFFERENTIATION_VTAR,MATCH(A376,PT_DIFFERENTIATION_VTAR_ID,0))</f>
        <v>Тариф на подвоз воды</v>
      </c>
      <c r="G376" s="3028" t="str">
        <f>INDEX(PT_DIFFERENTIATION_NTAR,MATCH(B376,PT_DIFFERENTIATION_NTAR_ID,0))</f>
        <v/>
      </c>
      <c r="H376" s="1787"/>
      <c r="I376" s="1665"/>
      <c r="J376" s="1699"/>
      <c r="K376" s="1704"/>
      <c r="L376" s="1787" t="s">
        <v>351</v>
      </c>
      <c r="M376" s="279"/>
      <c r="N376" s="272"/>
      <c r="O376" s="1551"/>
      <c r="P376" s="1551"/>
      <c r="AH376" s="1558">
        <v>0</v>
      </c>
    </row>
    <row r="377" spans="1:34" s="1562" customFormat="1" ht="18.75" hidden="1" customHeight="1">
      <c r="A377" s="1706"/>
      <c r="B377" s="1706"/>
      <c r="C377" s="306" t="s">
        <v>1191</v>
      </c>
      <c r="D377" s="3053"/>
      <c r="E377" s="2852"/>
      <c r="F377" s="2991"/>
      <c r="G377" s="3028"/>
      <c r="H377" s="1427"/>
      <c r="I377" s="588" t="s">
        <v>1190</v>
      </c>
      <c r="J377" s="508"/>
      <c r="K377" s="1427"/>
      <c r="L377" s="152"/>
      <c r="M377" s="279"/>
      <c r="N377" s="272"/>
      <c r="O377" s="1551"/>
      <c r="P377" s="1551"/>
      <c r="AH377" s="1558">
        <v>0</v>
      </c>
    </row>
    <row r="378" spans="1:34" s="1562" customFormat="1" ht="0.75" hidden="1" customHeight="1">
      <c r="A378" s="1706"/>
      <c r="B378" s="1706"/>
      <c r="C378" s="306" t="s">
        <v>1200</v>
      </c>
      <c r="D378" s="3053"/>
      <c r="E378" s="2852"/>
      <c r="F378" s="2991"/>
      <c r="G378" s="337"/>
      <c r="H378" s="1427"/>
      <c r="I378" s="588"/>
      <c r="J378" s="508"/>
      <c r="K378" s="1427"/>
      <c r="L378" s="152"/>
      <c r="M378" s="279"/>
      <c r="N378" s="272"/>
      <c r="O378" s="1551"/>
      <c r="P378" s="1551"/>
      <c r="AH378" s="1558">
        <v>0</v>
      </c>
    </row>
    <row r="379" spans="1:34" s="1562" customFormat="1" ht="18.75" hidden="1" customHeight="1">
      <c r="A379" s="1706" t="s">
        <v>290</v>
      </c>
      <c r="B379" s="1706" t="s">
        <v>291</v>
      </c>
      <c r="C379" s="306"/>
      <c r="D379" s="3053"/>
      <c r="E379" s="2852"/>
      <c r="F379" s="2991" t="str">
        <f>INDEX(PT_DIFFERENTIATION_VTAR,MATCH(A379,PT_DIFFERENTIATION_VTAR_ID,0))</f>
        <v>Тариф на подключение (технологическое присоединение) к централизованной системе холодного водоснабжения</v>
      </c>
      <c r="G379" s="3028" t="str">
        <f>INDEX(PT_DIFFERENTIATION_NTAR,MATCH(B379,PT_DIFFERENTIATION_NTAR_ID,0))</f>
        <v/>
      </c>
      <c r="H379" s="1787"/>
      <c r="I379" s="1665"/>
      <c r="J379" s="1699"/>
      <c r="K379" s="1704"/>
      <c r="L379" s="1787" t="s">
        <v>351</v>
      </c>
      <c r="M379" s="279"/>
      <c r="N379" s="272"/>
      <c r="O379" s="1551"/>
      <c r="P379" s="1551"/>
      <c r="AH379" s="1558">
        <v>0</v>
      </c>
    </row>
    <row r="380" spans="1:34" s="1562" customFormat="1" ht="18.75" hidden="1" customHeight="1">
      <c r="A380" s="1706"/>
      <c r="B380" s="1706"/>
      <c r="C380" s="306" t="s">
        <v>1191</v>
      </c>
      <c r="D380" s="3053"/>
      <c r="E380" s="2852"/>
      <c r="F380" s="2991"/>
      <c r="G380" s="3028"/>
      <c r="H380" s="1427"/>
      <c r="I380" s="588" t="s">
        <v>1190</v>
      </c>
      <c r="J380" s="508"/>
      <c r="K380" s="1427"/>
      <c r="L380" s="152"/>
      <c r="M380" s="279"/>
      <c r="N380" s="272"/>
      <c r="O380" s="1551"/>
      <c r="P380" s="1551"/>
      <c r="AH380" s="1558">
        <v>0</v>
      </c>
    </row>
    <row r="381" spans="1:34" s="1562" customFormat="1" ht="0.75" hidden="1" customHeight="1">
      <c r="A381" s="1706"/>
      <c r="B381" s="1706"/>
      <c r="C381" s="306" t="s">
        <v>1200</v>
      </c>
      <c r="D381" s="3053"/>
      <c r="E381" s="2852"/>
      <c r="F381" s="2991"/>
      <c r="G381" s="337"/>
      <c r="H381" s="1427"/>
      <c r="I381" s="588"/>
      <c r="J381" s="508"/>
      <c r="K381" s="1427"/>
      <c r="L381" s="152"/>
      <c r="M381" s="279"/>
      <c r="N381" s="272"/>
      <c r="O381" s="1551"/>
      <c r="P381" s="1551"/>
      <c r="AH381" s="1558">
        <v>0</v>
      </c>
    </row>
    <row r="382" spans="1:34" s="1562" customFormat="1" ht="18.75" hidden="1" customHeight="1">
      <c r="A382" s="1706" t="s">
        <v>295</v>
      </c>
      <c r="B382" s="1706" t="s">
        <v>296</v>
      </c>
      <c r="C382" s="306"/>
      <c r="D382" s="3053"/>
      <c r="E382" s="2852"/>
      <c r="F382" s="2991" t="str">
        <f>INDEX(PT_DIFFERENTIATION_VTAR,MATCH(A382,PT_DIFFERENTIATION_VTAR_ID,0))</f>
        <v>Тариф на горячую воду (горячее водоснабжение)</v>
      </c>
      <c r="G382" s="3028" t="str">
        <f>INDEX(PT_DIFFERENTIATION_NTAR,MATCH(B382,PT_DIFFERENTIATION_NTAR_ID,0))</f>
        <v/>
      </c>
      <c r="H382" s="1787"/>
      <c r="I382" s="1665"/>
      <c r="J382" s="1699"/>
      <c r="K382" s="1704"/>
      <c r="L382" s="1787" t="s">
        <v>351</v>
      </c>
      <c r="M382" s="279"/>
      <c r="N382" s="272"/>
      <c r="O382" s="1551"/>
      <c r="P382" s="1551"/>
      <c r="AH382" s="1558">
        <v>0</v>
      </c>
    </row>
    <row r="383" spans="1:34" s="1562" customFormat="1" ht="18.75" hidden="1" customHeight="1">
      <c r="A383" s="1706"/>
      <c r="B383" s="1706"/>
      <c r="C383" s="306" t="s">
        <v>1191</v>
      </c>
      <c r="D383" s="3053"/>
      <c r="E383" s="2852"/>
      <c r="F383" s="2991"/>
      <c r="G383" s="3028"/>
      <c r="H383" s="1427"/>
      <c r="I383" s="588" t="s">
        <v>1190</v>
      </c>
      <c r="J383" s="508"/>
      <c r="K383" s="1427"/>
      <c r="L383" s="152"/>
      <c r="M383" s="279"/>
      <c r="N383" s="272"/>
      <c r="O383" s="1551"/>
      <c r="P383" s="1551"/>
      <c r="AH383" s="1558">
        <v>0</v>
      </c>
    </row>
    <row r="384" spans="1:34" s="1562" customFormat="1" ht="0.75" hidden="1" customHeight="1">
      <c r="A384" s="1706"/>
      <c r="B384" s="1706"/>
      <c r="C384" s="306" t="s">
        <v>1200</v>
      </c>
      <c r="D384" s="3053"/>
      <c r="E384" s="2852"/>
      <c r="F384" s="2991"/>
      <c r="G384" s="337"/>
      <c r="H384" s="1427"/>
      <c r="I384" s="588"/>
      <c r="J384" s="508"/>
      <c r="K384" s="1427"/>
      <c r="L384" s="152"/>
      <c r="M384" s="279"/>
      <c r="N384" s="272"/>
      <c r="O384" s="1551"/>
      <c r="P384" s="1551"/>
      <c r="AH384" s="1558">
        <v>0</v>
      </c>
    </row>
    <row r="385" spans="1:34" s="1562" customFormat="1" ht="18.75" hidden="1" customHeight="1">
      <c r="A385" s="1706" t="s">
        <v>300</v>
      </c>
      <c r="B385" s="1706" t="s">
        <v>301</v>
      </c>
      <c r="C385" s="306"/>
      <c r="D385" s="3053"/>
      <c r="E385" s="2852"/>
      <c r="F385" s="2991" t="str">
        <f>INDEX(PT_DIFFERENTIATION_VTAR,MATCH(A385,PT_DIFFERENTIATION_VTAR_ID,0))</f>
        <v>Тариф на транспортировку горячей воды</v>
      </c>
      <c r="G385" s="3028" t="str">
        <f>INDEX(PT_DIFFERENTIATION_NTAR,MATCH(B385,PT_DIFFERENTIATION_NTAR_ID,0))</f>
        <v/>
      </c>
      <c r="H385" s="1787"/>
      <c r="I385" s="1665"/>
      <c r="J385" s="1699"/>
      <c r="K385" s="1704"/>
      <c r="L385" s="1787" t="s">
        <v>351</v>
      </c>
      <c r="M385" s="279"/>
      <c r="N385" s="272"/>
      <c r="O385" s="1551"/>
      <c r="P385" s="1551"/>
      <c r="AH385" s="1558">
        <v>0</v>
      </c>
    </row>
    <row r="386" spans="1:34" s="1562" customFormat="1" ht="18.75" hidden="1" customHeight="1">
      <c r="A386" s="1706"/>
      <c r="B386" s="1706"/>
      <c r="C386" s="306" t="s">
        <v>1191</v>
      </c>
      <c r="D386" s="3053"/>
      <c r="E386" s="2852"/>
      <c r="F386" s="2991"/>
      <c r="G386" s="3028"/>
      <c r="H386" s="1427"/>
      <c r="I386" s="588" t="s">
        <v>1190</v>
      </c>
      <c r="J386" s="508"/>
      <c r="K386" s="1427"/>
      <c r="L386" s="152"/>
      <c r="M386" s="279"/>
      <c r="N386" s="272"/>
      <c r="O386" s="1551"/>
      <c r="P386" s="1551"/>
      <c r="AH386" s="1558">
        <v>0</v>
      </c>
    </row>
    <row r="387" spans="1:34" s="1562" customFormat="1" ht="0.75" hidden="1" customHeight="1">
      <c r="A387" s="1706"/>
      <c r="B387" s="1706"/>
      <c r="C387" s="306" t="s">
        <v>1200</v>
      </c>
      <c r="D387" s="3053"/>
      <c r="E387" s="2852"/>
      <c r="F387" s="2991"/>
      <c r="G387" s="337"/>
      <c r="H387" s="1427"/>
      <c r="I387" s="588"/>
      <c r="J387" s="508"/>
      <c r="K387" s="1427"/>
      <c r="L387" s="152"/>
      <c r="M387" s="279"/>
      <c r="N387" s="272"/>
      <c r="O387" s="1551"/>
      <c r="P387" s="1551"/>
      <c r="AH387" s="1558">
        <v>0</v>
      </c>
    </row>
    <row r="388" spans="1:34" s="1562" customFormat="1" ht="18.75" hidden="1" customHeight="1">
      <c r="A388" s="1706" t="s">
        <v>305</v>
      </c>
      <c r="B388" s="1706" t="s">
        <v>306</v>
      </c>
      <c r="C388" s="306"/>
      <c r="D388" s="3053"/>
      <c r="E388" s="2852"/>
      <c r="F388" s="2991" t="str">
        <f>INDEX(PT_DIFFERENTIATION_VTAR,MATCH(A388,PT_DIFFERENTIATION_VTAR_ID,0))</f>
        <v>Тариф на подключение (технологическое присоединение) к централизованной системе горячего водоснабжения</v>
      </c>
      <c r="G388" s="3028" t="str">
        <f>INDEX(PT_DIFFERENTIATION_NTAR,MATCH(B388,PT_DIFFERENTIATION_NTAR_ID,0))</f>
        <v/>
      </c>
      <c r="H388" s="1787"/>
      <c r="I388" s="1665"/>
      <c r="J388" s="1699"/>
      <c r="K388" s="1704"/>
      <c r="L388" s="1787" t="s">
        <v>351</v>
      </c>
      <c r="M388" s="279"/>
      <c r="N388" s="272"/>
      <c r="O388" s="1551"/>
      <c r="P388" s="1551"/>
      <c r="AH388" s="1558">
        <v>0</v>
      </c>
    </row>
    <row r="389" spans="1:34" s="1562" customFormat="1" ht="18.75" hidden="1" customHeight="1">
      <c r="A389" s="1706"/>
      <c r="B389" s="1706"/>
      <c r="C389" s="306" t="s">
        <v>1191</v>
      </c>
      <c r="D389" s="3053"/>
      <c r="E389" s="2852"/>
      <c r="F389" s="2991"/>
      <c r="G389" s="3028"/>
      <c r="H389" s="1427"/>
      <c r="I389" s="588" t="s">
        <v>1190</v>
      </c>
      <c r="J389" s="508"/>
      <c r="K389" s="1427"/>
      <c r="L389" s="152"/>
      <c r="M389" s="279"/>
      <c r="N389" s="272"/>
      <c r="O389" s="1551"/>
      <c r="P389" s="1551"/>
      <c r="AH389" s="1558">
        <v>0</v>
      </c>
    </row>
    <row r="390" spans="1:34" s="1562" customFormat="1" ht="0.75" hidden="1" customHeight="1">
      <c r="A390" s="1706"/>
      <c r="B390" s="1706"/>
      <c r="C390" s="306" t="s">
        <v>1200</v>
      </c>
      <c r="D390" s="3053"/>
      <c r="E390" s="2852"/>
      <c r="F390" s="2991"/>
      <c r="G390" s="337"/>
      <c r="H390" s="1427"/>
      <c r="I390" s="588"/>
      <c r="J390" s="508"/>
      <c r="K390" s="1427"/>
      <c r="L390" s="152"/>
      <c r="M390" s="279"/>
      <c r="N390" s="272"/>
      <c r="O390" s="1551"/>
      <c r="P390" s="1551"/>
      <c r="AH390" s="1558">
        <v>0</v>
      </c>
    </row>
    <row r="391" spans="1:34" s="1562" customFormat="1" ht="18.75" hidden="1" customHeight="1">
      <c r="A391" s="1706" t="s">
        <v>310</v>
      </c>
      <c r="B391" s="1706" t="s">
        <v>311</v>
      </c>
      <c r="C391" s="306"/>
      <c r="D391" s="3053"/>
      <c r="E391" s="2852"/>
      <c r="F391" s="2991" t="str">
        <f>INDEX(PT_DIFFERENTIATION_VTAR,MATCH(A391,PT_DIFFERENTIATION_VTAR_ID,0))</f>
        <v>Тариф на водоотведение</v>
      </c>
      <c r="G391" s="3028" t="str">
        <f>INDEX(PT_DIFFERENTIATION_NTAR,MATCH(B391,PT_DIFFERENTIATION_NTAR_ID,0))</f>
        <v/>
      </c>
      <c r="H391" s="1787"/>
      <c r="I391" s="1665"/>
      <c r="J391" s="1699"/>
      <c r="K391" s="1704"/>
      <c r="L391" s="1787" t="s">
        <v>351</v>
      </c>
      <c r="M391" s="279"/>
      <c r="N391" s="272"/>
      <c r="O391" s="1551"/>
      <c r="P391" s="1551"/>
      <c r="AH391" s="1558">
        <v>0</v>
      </c>
    </row>
    <row r="392" spans="1:34" s="1562" customFormat="1" ht="18.75" hidden="1" customHeight="1">
      <c r="A392" s="1706"/>
      <c r="B392" s="1706"/>
      <c r="C392" s="306" t="s">
        <v>1191</v>
      </c>
      <c r="D392" s="3053"/>
      <c r="E392" s="2852"/>
      <c r="F392" s="2991"/>
      <c r="G392" s="3028"/>
      <c r="H392" s="1427"/>
      <c r="I392" s="588" t="s">
        <v>1190</v>
      </c>
      <c r="J392" s="508"/>
      <c r="K392" s="1427"/>
      <c r="L392" s="152"/>
      <c r="M392" s="279"/>
      <c r="N392" s="272"/>
      <c r="O392" s="1551"/>
      <c r="P392" s="1551"/>
      <c r="AH392" s="1558">
        <v>0</v>
      </c>
    </row>
    <row r="393" spans="1:34" s="1562" customFormat="1" ht="0.75" hidden="1" customHeight="1">
      <c r="A393" s="1706"/>
      <c r="B393" s="1706"/>
      <c r="C393" s="306" t="s">
        <v>1200</v>
      </c>
      <c r="D393" s="3053"/>
      <c r="E393" s="2852"/>
      <c r="F393" s="2991"/>
      <c r="G393" s="337"/>
      <c r="H393" s="1427"/>
      <c r="I393" s="588"/>
      <c r="J393" s="508"/>
      <c r="K393" s="1427"/>
      <c r="L393" s="152"/>
      <c r="M393" s="279"/>
      <c r="N393" s="272"/>
      <c r="O393" s="1551"/>
      <c r="P393" s="1551"/>
      <c r="AH393" s="1558">
        <v>0</v>
      </c>
    </row>
    <row r="394" spans="1:34" s="1562" customFormat="1" ht="18.75" hidden="1" customHeight="1">
      <c r="A394" s="1706" t="s">
        <v>315</v>
      </c>
      <c r="B394" s="1706" t="s">
        <v>316</v>
      </c>
      <c r="C394" s="306"/>
      <c r="D394" s="3053"/>
      <c r="E394" s="2852"/>
      <c r="F394" s="2991" t="str">
        <f>INDEX(PT_DIFFERENTIATION_VTAR,MATCH(A394,PT_DIFFERENTIATION_VTAR_ID,0))</f>
        <v>Тариф на транспортировку сточных вод</v>
      </c>
      <c r="G394" s="3028" t="str">
        <f>INDEX(PT_DIFFERENTIATION_NTAR,MATCH(B394,PT_DIFFERENTIATION_NTAR_ID,0))</f>
        <v/>
      </c>
      <c r="H394" s="1787"/>
      <c r="I394" s="1665"/>
      <c r="J394" s="1699"/>
      <c r="K394" s="1704"/>
      <c r="L394" s="1787" t="s">
        <v>351</v>
      </c>
      <c r="M394" s="279"/>
      <c r="N394" s="272"/>
      <c r="O394" s="1551"/>
      <c r="P394" s="1551"/>
      <c r="AH394" s="1558">
        <v>0</v>
      </c>
    </row>
    <row r="395" spans="1:34" s="1562" customFormat="1" ht="18.75" hidden="1" customHeight="1">
      <c r="A395" s="1706"/>
      <c r="B395" s="1706"/>
      <c r="C395" s="306" t="s">
        <v>1191</v>
      </c>
      <c r="D395" s="3053"/>
      <c r="E395" s="2852"/>
      <c r="F395" s="2991"/>
      <c r="G395" s="3028"/>
      <c r="H395" s="1427"/>
      <c r="I395" s="588" t="s">
        <v>1190</v>
      </c>
      <c r="J395" s="508"/>
      <c r="K395" s="1427"/>
      <c r="L395" s="152"/>
      <c r="M395" s="279"/>
      <c r="N395" s="272"/>
      <c r="O395" s="1551"/>
      <c r="P395" s="1551"/>
      <c r="AH395" s="1558">
        <v>0</v>
      </c>
    </row>
    <row r="396" spans="1:34" s="1562" customFormat="1" ht="0.75" hidden="1" customHeight="1">
      <c r="A396" s="1706"/>
      <c r="B396" s="1706"/>
      <c r="C396" s="306" t="s">
        <v>1200</v>
      </c>
      <c r="D396" s="3053"/>
      <c r="E396" s="2852"/>
      <c r="F396" s="2991"/>
      <c r="G396" s="337"/>
      <c r="H396" s="1427"/>
      <c r="I396" s="588"/>
      <c r="J396" s="508"/>
      <c r="K396" s="1427"/>
      <c r="L396" s="152"/>
      <c r="M396" s="279"/>
      <c r="N396" s="272"/>
      <c r="O396" s="1551"/>
      <c r="P396" s="1551"/>
      <c r="AH396" s="1558">
        <v>0</v>
      </c>
    </row>
    <row r="397" spans="1:34" s="1562" customFormat="1" ht="18.75" hidden="1" customHeight="1">
      <c r="A397" s="1706" t="s">
        <v>320</v>
      </c>
      <c r="B397" s="1706" t="s">
        <v>321</v>
      </c>
      <c r="C397" s="306"/>
      <c r="D397" s="3053"/>
      <c r="E397" s="2852"/>
      <c r="F397" s="2991" t="str">
        <f>INDEX(PT_DIFFERENTIATION_VTAR,MATCH(A397,PT_DIFFERENTIATION_VTAR_ID,0))</f>
        <v>Тариф на подключение (технологическое присоединение) к централизованной системе водоотведения</v>
      </c>
      <c r="G397" s="3028" t="str">
        <f>INDEX(PT_DIFFERENTIATION_NTAR,MATCH(B397,PT_DIFFERENTIATION_NTAR_ID,0))</f>
        <v/>
      </c>
      <c r="H397" s="1787"/>
      <c r="I397" s="1665"/>
      <c r="J397" s="1699"/>
      <c r="K397" s="1704"/>
      <c r="L397" s="1787" t="s">
        <v>351</v>
      </c>
      <c r="M397" s="279"/>
      <c r="N397" s="272"/>
      <c r="O397" s="1551"/>
      <c r="P397" s="1551"/>
      <c r="AH397" s="1558">
        <v>0</v>
      </c>
    </row>
    <row r="398" spans="1:34" s="1562" customFormat="1" ht="3" hidden="1" customHeight="1">
      <c r="A398" s="1706"/>
      <c r="B398" s="1706"/>
      <c r="C398" s="306" t="s">
        <v>1191</v>
      </c>
      <c r="D398" s="3053"/>
      <c r="E398" s="2852"/>
      <c r="F398" s="2991"/>
      <c r="G398" s="3028"/>
      <c r="H398" s="1427"/>
      <c r="I398" s="588" t="s">
        <v>1190</v>
      </c>
      <c r="J398" s="508"/>
      <c r="K398" s="1427"/>
      <c r="L398" s="152"/>
      <c r="M398" s="279"/>
      <c r="N398" s="272"/>
      <c r="O398" s="1551"/>
      <c r="P398" s="1551"/>
      <c r="AH398" s="1558">
        <v>0</v>
      </c>
    </row>
    <row r="399" spans="1:34" s="1562" customFormat="1" ht="0.75" customHeight="1">
      <c r="A399" s="1706"/>
      <c r="B399" s="1706"/>
      <c r="C399" s="306" t="s">
        <v>1200</v>
      </c>
      <c r="D399" s="3053"/>
      <c r="E399" s="2852"/>
      <c r="F399" s="2991"/>
      <c r="G399" s="337"/>
      <c r="H399" s="1427"/>
      <c r="I399" s="588"/>
      <c r="J399" s="508"/>
      <c r="K399" s="1427"/>
      <c r="L399" s="152"/>
      <c r="M399" s="279"/>
      <c r="N399" s="272"/>
      <c r="O399" s="1551"/>
      <c r="P399" s="1551"/>
      <c r="AH399" s="1558">
        <v>1</v>
      </c>
    </row>
    <row r="400" spans="1:34" s="1748" customFormat="1" ht="3" customHeight="1">
      <c r="A400" s="1706"/>
      <c r="B400" s="1706"/>
      <c r="C400" s="1707"/>
      <c r="E400" s="339"/>
      <c r="F400" s="339"/>
      <c r="G400" s="339"/>
      <c r="H400" s="339"/>
      <c r="I400" s="339"/>
      <c r="J400" s="339"/>
      <c r="K400" s="339"/>
      <c r="L400" s="339"/>
      <c r="M400" s="339"/>
      <c r="O400" s="134"/>
      <c r="P400" s="134"/>
      <c r="AH400" s="79">
        <v>3</v>
      </c>
    </row>
    <row r="401" spans="1:34" ht="26.25" customHeight="1">
      <c r="E401" s="140"/>
      <c r="F401" s="2895"/>
      <c r="G401" s="2895"/>
      <c r="H401" s="2895"/>
      <c r="I401" s="2895"/>
      <c r="J401" s="2895"/>
      <c r="K401" s="2895"/>
      <c r="L401" s="2895"/>
      <c r="M401" s="2895"/>
      <c r="AH401" s="311">
        <v>25</v>
      </c>
    </row>
    <row r="402" spans="1:34" ht="14.25" hidden="1" customHeight="1">
      <c r="A402" s="1705" t="s">
        <v>87</v>
      </c>
      <c r="B402" s="1705">
        <v>0</v>
      </c>
      <c r="C402" s="306">
        <v>0</v>
      </c>
      <c r="D402" s="282">
        <v>3</v>
      </c>
      <c r="E402" s="311">
        <v>6</v>
      </c>
      <c r="F402" s="311">
        <v>46</v>
      </c>
      <c r="G402" s="311">
        <v>35</v>
      </c>
      <c r="H402" s="311">
        <v>3</v>
      </c>
      <c r="I402" s="311">
        <v>11</v>
      </c>
      <c r="J402" s="311">
        <v>11</v>
      </c>
      <c r="K402" s="311">
        <v>35</v>
      </c>
      <c r="L402" s="311">
        <v>35</v>
      </c>
      <c r="M402" s="311">
        <v>84</v>
      </c>
      <c r="N402" s="311">
        <v>10</v>
      </c>
      <c r="O402" s="287">
        <v>10</v>
      </c>
      <c r="P402" s="287">
        <v>10</v>
      </c>
      <c r="Q402" s="311">
        <v>10</v>
      </c>
      <c r="R402" s="311">
        <v>10</v>
      </c>
      <c r="S402" s="311">
        <v>10</v>
      </c>
      <c r="T402" s="311">
        <v>10</v>
      </c>
      <c r="U402" s="311">
        <v>10</v>
      </c>
      <c r="V402" s="311">
        <v>10</v>
      </c>
      <c r="W402" s="311">
        <v>10</v>
      </c>
      <c r="X402" s="311">
        <v>10</v>
      </c>
      <c r="Y402" s="311">
        <v>10</v>
      </c>
      <c r="Z402" s="311">
        <v>10</v>
      </c>
      <c r="AA402" s="311">
        <v>10</v>
      </c>
      <c r="AB402" s="311">
        <v>10</v>
      </c>
      <c r="AC402" s="311">
        <v>10</v>
      </c>
      <c r="AD402" s="311">
        <v>10</v>
      </c>
      <c r="AE402" s="311">
        <v>10</v>
      </c>
      <c r="AF402" s="311">
        <v>10</v>
      </c>
      <c r="AG402" s="311">
        <v>10</v>
      </c>
      <c r="AH402" s="311">
        <v>14</v>
      </c>
    </row>
  </sheetData>
  <sheetProtection formatColumns="0" formatRows="0" insertRows="0" deleteColumns="0" deleteRows="0" sort="0" autoFilter="0"/>
  <mergeCells count="463">
    <mergeCell ref="G341:G342"/>
    <mergeCell ref="G41:G42"/>
    <mergeCell ref="G118:G119"/>
    <mergeCell ref="G193:G194"/>
    <mergeCell ref="G268:G269"/>
    <mergeCell ref="G343:G344"/>
    <mergeCell ref="G106:G107"/>
    <mergeCell ref="G181:G182"/>
    <mergeCell ref="G256:G257"/>
    <mergeCell ref="G331:G332"/>
    <mergeCell ref="G31:G32"/>
    <mergeCell ref="G108:G109"/>
    <mergeCell ref="G183:G184"/>
    <mergeCell ref="G258:G259"/>
    <mergeCell ref="G333:G334"/>
    <mergeCell ref="G33:G34"/>
    <mergeCell ref="G110:G111"/>
    <mergeCell ref="G185:G186"/>
    <mergeCell ref="G260:G261"/>
    <mergeCell ref="G35:G36"/>
    <mergeCell ref="G112:G113"/>
    <mergeCell ref="G187:G188"/>
    <mergeCell ref="G262:G263"/>
    <mergeCell ref="G37:G38"/>
    <mergeCell ref="G114:G115"/>
    <mergeCell ref="G189:G190"/>
    <mergeCell ref="G264:G265"/>
    <mergeCell ref="G39:G40"/>
    <mergeCell ref="G116:G117"/>
    <mergeCell ref="G191:G192"/>
    <mergeCell ref="G133:G134"/>
    <mergeCell ref="G136:G137"/>
    <mergeCell ref="G142:G143"/>
    <mergeCell ref="G145:G146"/>
    <mergeCell ref="G286:G287"/>
    <mergeCell ref="G292:G293"/>
    <mergeCell ref="G295:G296"/>
    <mergeCell ref="G298:G299"/>
    <mergeCell ref="G241:G242"/>
    <mergeCell ref="G247:G248"/>
    <mergeCell ref="G251:G252"/>
    <mergeCell ref="G254:G255"/>
    <mergeCell ref="G271:G272"/>
    <mergeCell ref="G208:G209"/>
    <mergeCell ref="G211:G212"/>
    <mergeCell ref="G217:G218"/>
    <mergeCell ref="G274:G275"/>
    <mergeCell ref="G277:G278"/>
    <mergeCell ref="G280:G281"/>
    <mergeCell ref="G223:G224"/>
    <mergeCell ref="G226:G227"/>
    <mergeCell ref="G229:G230"/>
    <mergeCell ref="G232:G233"/>
    <mergeCell ref="G205:G206"/>
    <mergeCell ref="G385:G386"/>
    <mergeCell ref="G388:G389"/>
    <mergeCell ref="G391:G392"/>
    <mergeCell ref="G394:G395"/>
    <mergeCell ref="G376:G377"/>
    <mergeCell ref="G379:G380"/>
    <mergeCell ref="G382:G383"/>
    <mergeCell ref="G370:G371"/>
    <mergeCell ref="G313:G314"/>
    <mergeCell ref="G316:G317"/>
    <mergeCell ref="G319:G320"/>
    <mergeCell ref="G322:G323"/>
    <mergeCell ref="G326:G327"/>
    <mergeCell ref="G346:G347"/>
    <mergeCell ref="G349:G350"/>
    <mergeCell ref="G352:G353"/>
    <mergeCell ref="G355:G356"/>
    <mergeCell ref="G358:G359"/>
    <mergeCell ref="G361:G362"/>
    <mergeCell ref="G367:G368"/>
    <mergeCell ref="G364:G365"/>
    <mergeCell ref="G335:G336"/>
    <mergeCell ref="G337:G338"/>
    <mergeCell ref="G339:G340"/>
    <mergeCell ref="G74:G75"/>
    <mergeCell ref="G77:G78"/>
    <mergeCell ref="G80:G81"/>
    <mergeCell ref="G83:G84"/>
    <mergeCell ref="G86:G87"/>
    <mergeCell ref="G89:G90"/>
    <mergeCell ref="G92:G93"/>
    <mergeCell ref="G95:G96"/>
    <mergeCell ref="G101:G102"/>
    <mergeCell ref="F397:F399"/>
    <mergeCell ref="M326:M329"/>
    <mergeCell ref="D391:D393"/>
    <mergeCell ref="E391:E393"/>
    <mergeCell ref="F391:F393"/>
    <mergeCell ref="D394:D396"/>
    <mergeCell ref="E394:E396"/>
    <mergeCell ref="F394:F396"/>
    <mergeCell ref="D385:D387"/>
    <mergeCell ref="E385:E387"/>
    <mergeCell ref="F385:F387"/>
    <mergeCell ref="D388:D390"/>
    <mergeCell ref="E388:E390"/>
    <mergeCell ref="F388:F390"/>
    <mergeCell ref="D379:D381"/>
    <mergeCell ref="E379:E381"/>
    <mergeCell ref="F379:F381"/>
    <mergeCell ref="D382:D384"/>
    <mergeCell ref="E382:E384"/>
    <mergeCell ref="F382:F384"/>
    <mergeCell ref="D373:D375"/>
    <mergeCell ref="E373:E375"/>
    <mergeCell ref="G397:G398"/>
    <mergeCell ref="G329:G330"/>
    <mergeCell ref="F319:F321"/>
    <mergeCell ref="F349:F351"/>
    <mergeCell ref="D367:D369"/>
    <mergeCell ref="E367:E369"/>
    <mergeCell ref="F367:F369"/>
    <mergeCell ref="D370:D372"/>
    <mergeCell ref="E370:E372"/>
    <mergeCell ref="F370:F372"/>
    <mergeCell ref="D358:D360"/>
    <mergeCell ref="E358:E360"/>
    <mergeCell ref="F358:F360"/>
    <mergeCell ref="D361:D363"/>
    <mergeCell ref="E361:E363"/>
    <mergeCell ref="F361:F363"/>
    <mergeCell ref="D364:D366"/>
    <mergeCell ref="E364:E366"/>
    <mergeCell ref="F364:F366"/>
    <mergeCell ref="D304:D306"/>
    <mergeCell ref="E304:E306"/>
    <mergeCell ref="F304:F306"/>
    <mergeCell ref="G301:G302"/>
    <mergeCell ref="G304:G305"/>
    <mergeCell ref="G307:G308"/>
    <mergeCell ref="D322:D324"/>
    <mergeCell ref="E322:E324"/>
    <mergeCell ref="F322:F324"/>
    <mergeCell ref="D313:D315"/>
    <mergeCell ref="E313:E315"/>
    <mergeCell ref="F313:F315"/>
    <mergeCell ref="D316:D318"/>
    <mergeCell ref="E316:E318"/>
    <mergeCell ref="F316:F318"/>
    <mergeCell ref="D307:D309"/>
    <mergeCell ref="E307:E309"/>
    <mergeCell ref="F307:F309"/>
    <mergeCell ref="D310:D312"/>
    <mergeCell ref="E310:E312"/>
    <mergeCell ref="F310:F312"/>
    <mergeCell ref="G310:G311"/>
    <mergeCell ref="D319:D321"/>
    <mergeCell ref="E319:E321"/>
    <mergeCell ref="D286:D288"/>
    <mergeCell ref="E286:E288"/>
    <mergeCell ref="F286:F288"/>
    <mergeCell ref="D292:D294"/>
    <mergeCell ref="E292:E294"/>
    <mergeCell ref="F292:F294"/>
    <mergeCell ref="D289:D291"/>
    <mergeCell ref="E289:E291"/>
    <mergeCell ref="F289:F291"/>
    <mergeCell ref="D295:D297"/>
    <mergeCell ref="E295:E297"/>
    <mergeCell ref="F295:F297"/>
    <mergeCell ref="G289:G290"/>
    <mergeCell ref="D301:D303"/>
    <mergeCell ref="E301:E303"/>
    <mergeCell ref="F301:F303"/>
    <mergeCell ref="D298:D300"/>
    <mergeCell ref="E298:E300"/>
    <mergeCell ref="F298:F300"/>
    <mergeCell ref="D280:D282"/>
    <mergeCell ref="E280:E282"/>
    <mergeCell ref="F280:F282"/>
    <mergeCell ref="D283:D285"/>
    <mergeCell ref="E283:E285"/>
    <mergeCell ref="F283:F285"/>
    <mergeCell ref="G283:G284"/>
    <mergeCell ref="D254:D270"/>
    <mergeCell ref="E254:E270"/>
    <mergeCell ref="F254:F270"/>
    <mergeCell ref="D274:D276"/>
    <mergeCell ref="E274:E276"/>
    <mergeCell ref="F274:F276"/>
    <mergeCell ref="D277:D279"/>
    <mergeCell ref="E277:E279"/>
    <mergeCell ref="F277:F279"/>
    <mergeCell ref="G266:G267"/>
    <mergeCell ref="D235:D237"/>
    <mergeCell ref="E235:E237"/>
    <mergeCell ref="F235:F237"/>
    <mergeCell ref="D238:D240"/>
    <mergeCell ref="E238:E240"/>
    <mergeCell ref="F238:F240"/>
    <mergeCell ref="G235:G236"/>
    <mergeCell ref="G238:G239"/>
    <mergeCell ref="D271:D273"/>
    <mergeCell ref="E271:E273"/>
    <mergeCell ref="F271:F273"/>
    <mergeCell ref="D247:D249"/>
    <mergeCell ref="E247:E249"/>
    <mergeCell ref="F247:F249"/>
    <mergeCell ref="D251:D253"/>
    <mergeCell ref="E251:E253"/>
    <mergeCell ref="F251:F253"/>
    <mergeCell ref="D241:D243"/>
    <mergeCell ref="E241:E243"/>
    <mergeCell ref="F241:F243"/>
    <mergeCell ref="D244:D246"/>
    <mergeCell ref="E244:E246"/>
    <mergeCell ref="F244:F246"/>
    <mergeCell ref="G244:G245"/>
    <mergeCell ref="D217:D219"/>
    <mergeCell ref="E217:E219"/>
    <mergeCell ref="F217:F219"/>
    <mergeCell ref="D220:D222"/>
    <mergeCell ref="E220:E222"/>
    <mergeCell ref="F220:F222"/>
    <mergeCell ref="G220:G221"/>
    <mergeCell ref="D229:D231"/>
    <mergeCell ref="E229:E231"/>
    <mergeCell ref="F229:F231"/>
    <mergeCell ref="D232:D234"/>
    <mergeCell ref="E232:E234"/>
    <mergeCell ref="F232:F234"/>
    <mergeCell ref="D223:D225"/>
    <mergeCell ref="E223:E225"/>
    <mergeCell ref="F223:F225"/>
    <mergeCell ref="D226:D228"/>
    <mergeCell ref="E226:E228"/>
    <mergeCell ref="F226:F228"/>
    <mergeCell ref="F196:F198"/>
    <mergeCell ref="D199:D201"/>
    <mergeCell ref="E199:E201"/>
    <mergeCell ref="F199:F201"/>
    <mergeCell ref="D208:D210"/>
    <mergeCell ref="E208:E210"/>
    <mergeCell ref="F208:F210"/>
    <mergeCell ref="D211:D213"/>
    <mergeCell ref="E211:E213"/>
    <mergeCell ref="F211:F213"/>
    <mergeCell ref="G169:G170"/>
    <mergeCell ref="G172:G173"/>
    <mergeCell ref="G176:G177"/>
    <mergeCell ref="G179:G180"/>
    <mergeCell ref="D202:D204"/>
    <mergeCell ref="E202:E204"/>
    <mergeCell ref="F202:F204"/>
    <mergeCell ref="D205:D207"/>
    <mergeCell ref="E205:E207"/>
    <mergeCell ref="F205:F207"/>
    <mergeCell ref="D196:D198"/>
    <mergeCell ref="D179:D195"/>
    <mergeCell ref="E179:E195"/>
    <mergeCell ref="F179:F195"/>
    <mergeCell ref="D169:D171"/>
    <mergeCell ref="E169:E171"/>
    <mergeCell ref="F169:F171"/>
    <mergeCell ref="D172:D174"/>
    <mergeCell ref="E172:E174"/>
    <mergeCell ref="F172:F174"/>
    <mergeCell ref="D176:D178"/>
    <mergeCell ref="E176:E178"/>
    <mergeCell ref="F176:F178"/>
    <mergeCell ref="E196:E198"/>
    <mergeCell ref="D163:D165"/>
    <mergeCell ref="E163:E165"/>
    <mergeCell ref="F163:F165"/>
    <mergeCell ref="D166:D168"/>
    <mergeCell ref="E166:E168"/>
    <mergeCell ref="F166:F168"/>
    <mergeCell ref="D157:D159"/>
    <mergeCell ref="E157:E159"/>
    <mergeCell ref="F157:F159"/>
    <mergeCell ref="D160:D162"/>
    <mergeCell ref="E160:E162"/>
    <mergeCell ref="F160:F162"/>
    <mergeCell ref="D145:D147"/>
    <mergeCell ref="E145:E147"/>
    <mergeCell ref="F145:F147"/>
    <mergeCell ref="D148:D150"/>
    <mergeCell ref="E148:E150"/>
    <mergeCell ref="F148:F150"/>
    <mergeCell ref="G148:G149"/>
    <mergeCell ref="G151:G152"/>
    <mergeCell ref="G154:G155"/>
    <mergeCell ref="D151:D153"/>
    <mergeCell ref="E151:E153"/>
    <mergeCell ref="F151:F153"/>
    <mergeCell ref="D154:D156"/>
    <mergeCell ref="E154:E156"/>
    <mergeCell ref="F154:F156"/>
    <mergeCell ref="D142:D144"/>
    <mergeCell ref="E142:E144"/>
    <mergeCell ref="F142:F144"/>
    <mergeCell ref="D130:D132"/>
    <mergeCell ref="E130:E132"/>
    <mergeCell ref="F130:F132"/>
    <mergeCell ref="D133:D135"/>
    <mergeCell ref="E133:E135"/>
    <mergeCell ref="F133:F135"/>
    <mergeCell ref="E89:E91"/>
    <mergeCell ref="D92:D94"/>
    <mergeCell ref="E92:E94"/>
    <mergeCell ref="D121:D123"/>
    <mergeCell ref="E121:E123"/>
    <mergeCell ref="D136:D138"/>
    <mergeCell ref="E136:E138"/>
    <mergeCell ref="F136:F138"/>
    <mergeCell ref="F124:F126"/>
    <mergeCell ref="D127:D129"/>
    <mergeCell ref="E127:E129"/>
    <mergeCell ref="F127:F129"/>
    <mergeCell ref="D95:D97"/>
    <mergeCell ref="E95:E97"/>
    <mergeCell ref="F95:F97"/>
    <mergeCell ref="D101:D103"/>
    <mergeCell ref="E101:E103"/>
    <mergeCell ref="F101:F103"/>
    <mergeCell ref="D124:D126"/>
    <mergeCell ref="E124:E126"/>
    <mergeCell ref="F98:L98"/>
    <mergeCell ref="H99:I99"/>
    <mergeCell ref="F100:L100"/>
    <mergeCell ref="G130:G131"/>
    <mergeCell ref="D59:D61"/>
    <mergeCell ref="E59:E61"/>
    <mergeCell ref="F59:F61"/>
    <mergeCell ref="D77:D79"/>
    <mergeCell ref="E77:E79"/>
    <mergeCell ref="F77:F79"/>
    <mergeCell ref="D80:D82"/>
    <mergeCell ref="E80:E82"/>
    <mergeCell ref="F80:F82"/>
    <mergeCell ref="D71:D73"/>
    <mergeCell ref="E71:E73"/>
    <mergeCell ref="F71:F73"/>
    <mergeCell ref="D74:D76"/>
    <mergeCell ref="E74:E76"/>
    <mergeCell ref="F74:F76"/>
    <mergeCell ref="D65:D67"/>
    <mergeCell ref="E65:E67"/>
    <mergeCell ref="D68:D70"/>
    <mergeCell ref="E68:E70"/>
    <mergeCell ref="D62:D64"/>
    <mergeCell ref="G59:G60"/>
    <mergeCell ref="G65:G66"/>
    <mergeCell ref="G68:G69"/>
    <mergeCell ref="G71:G72"/>
    <mergeCell ref="M251:M254"/>
    <mergeCell ref="M101:M104"/>
    <mergeCell ref="F175:L175"/>
    <mergeCell ref="M176:M179"/>
    <mergeCell ref="F250:L250"/>
    <mergeCell ref="F65:F67"/>
    <mergeCell ref="F68:F70"/>
    <mergeCell ref="F89:F91"/>
    <mergeCell ref="F92:F94"/>
    <mergeCell ref="F104:F120"/>
    <mergeCell ref="F121:F123"/>
    <mergeCell ref="M24:M97"/>
    <mergeCell ref="G56:G57"/>
    <mergeCell ref="G157:G158"/>
    <mergeCell ref="G160:G161"/>
    <mergeCell ref="G163:G164"/>
    <mergeCell ref="G166:G167"/>
    <mergeCell ref="G196:G197"/>
    <mergeCell ref="G104:G105"/>
    <mergeCell ref="G121:G122"/>
    <mergeCell ref="F401:M401"/>
    <mergeCell ref="F325:L325"/>
    <mergeCell ref="D326:D328"/>
    <mergeCell ref="E326:E328"/>
    <mergeCell ref="F326:F328"/>
    <mergeCell ref="D329:D345"/>
    <mergeCell ref="E329:E345"/>
    <mergeCell ref="F329:F345"/>
    <mergeCell ref="D346:D348"/>
    <mergeCell ref="D352:D354"/>
    <mergeCell ref="E352:E354"/>
    <mergeCell ref="F352:F354"/>
    <mergeCell ref="D355:D357"/>
    <mergeCell ref="E355:E357"/>
    <mergeCell ref="F355:F357"/>
    <mergeCell ref="E346:E348"/>
    <mergeCell ref="F346:F348"/>
    <mergeCell ref="D349:D351"/>
    <mergeCell ref="E349:E351"/>
    <mergeCell ref="F373:F375"/>
    <mergeCell ref="D376:D378"/>
    <mergeCell ref="E376:E378"/>
    <mergeCell ref="D397:D399"/>
    <mergeCell ref="E397:E399"/>
    <mergeCell ref="F376:F378"/>
    <mergeCell ref="G373:G374"/>
    <mergeCell ref="D56:D58"/>
    <mergeCell ref="E56:E58"/>
    <mergeCell ref="F56:F58"/>
    <mergeCell ref="D27:D43"/>
    <mergeCell ref="E27:E43"/>
    <mergeCell ref="F27:F43"/>
    <mergeCell ref="D44:D46"/>
    <mergeCell ref="E44:E46"/>
    <mergeCell ref="F44:F46"/>
    <mergeCell ref="D47:D49"/>
    <mergeCell ref="E47:E49"/>
    <mergeCell ref="F47:F49"/>
    <mergeCell ref="G27:G28"/>
    <mergeCell ref="G44:G45"/>
    <mergeCell ref="G47:G48"/>
    <mergeCell ref="G50:G51"/>
    <mergeCell ref="G53:G54"/>
    <mergeCell ref="D50:D52"/>
    <mergeCell ref="E50:E52"/>
    <mergeCell ref="F50:F52"/>
    <mergeCell ref="D53:D55"/>
    <mergeCell ref="E53:E55"/>
    <mergeCell ref="F53:F55"/>
    <mergeCell ref="G2:G3"/>
    <mergeCell ref="G5:G6"/>
    <mergeCell ref="E14:L14"/>
    <mergeCell ref="G16:L16"/>
    <mergeCell ref="G17:L17"/>
    <mergeCell ref="E19:L19"/>
    <mergeCell ref="D24:D26"/>
    <mergeCell ref="M19:M21"/>
    <mergeCell ref="E20:E21"/>
    <mergeCell ref="F20:F21"/>
    <mergeCell ref="G20:G21"/>
    <mergeCell ref="H20:J20"/>
    <mergeCell ref="K20:K21"/>
    <mergeCell ref="L20:L21"/>
    <mergeCell ref="H21:I21"/>
    <mergeCell ref="H22:I22"/>
    <mergeCell ref="F23:L23"/>
    <mergeCell ref="G24:G25"/>
    <mergeCell ref="F24:F26"/>
    <mergeCell ref="E24:E26"/>
    <mergeCell ref="G29:G30"/>
    <mergeCell ref="G62:G63"/>
    <mergeCell ref="D139:D141"/>
    <mergeCell ref="E139:E141"/>
    <mergeCell ref="F139:F141"/>
    <mergeCell ref="G139:G140"/>
    <mergeCell ref="D214:D216"/>
    <mergeCell ref="E214:E216"/>
    <mergeCell ref="F214:F216"/>
    <mergeCell ref="G214:G215"/>
    <mergeCell ref="D83:D85"/>
    <mergeCell ref="E83:E85"/>
    <mergeCell ref="F83:F85"/>
    <mergeCell ref="D104:D120"/>
    <mergeCell ref="E104:E120"/>
    <mergeCell ref="D86:D88"/>
    <mergeCell ref="E86:E88"/>
    <mergeCell ref="F86:F88"/>
    <mergeCell ref="G199:G200"/>
    <mergeCell ref="G202:G203"/>
    <mergeCell ref="E62:E64"/>
    <mergeCell ref="F62:F64"/>
    <mergeCell ref="G124:G125"/>
    <mergeCell ref="G127:G128"/>
    <mergeCell ref="D89:D91"/>
  </mergeCells>
  <dataValidations count="4">
    <dataValidation type="decimal" allowBlank="1" showErrorMessage="1" errorTitle="Ошибка" error="Допускается ввод только действительных чисел!" sqref="K251 K254 K271 K274 K277 K280 K283 K286 K292 K295 K298 K301 K304 K307 K310 K313 K316 K319 K10 K101 K169 K166 K163 K160 K157 K154 K151 K148 K145 K142 K136 K133 K130 K127 K124 K121 K104 K176 K172 K179 K196 K199 K202 K205 K208 K211 K217 K220 K223 K226 K229 K235 K238 K241 K244 K247 K232 K322 K326 K329 K346 K349 K352 K355 K358 K361 K367 K370 K373 K376 K379 K382 K385 K388 K391 K394 K397 K5 K139 K214 K289 K364 K106 K181 K256 K331 K108 K183 K258 K333 K110 K185 K260 K335 K112 K187 K262 K337 K114 K189 K264 K339 K116 K191 K266 K341 K118 K193 K268 K343">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M176:M177 M251:M252 M23 M101:M102 M326:M327">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99">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0:J10 I53:J53 I24:J24 I27:J27 I44:J44 I47:J47 I50:J50 I56:J56 I59:J59 I65:J65 I68:J68 I71:J71 I74:J74 I77:J77 I80:J80 I83:J83 I86:J86 I89:J89 I92:J92 I251:J251 I254:J254 I271:J271 I274:J274 I277:J277 I280:J280 I283:J283 I286:J286 I292:J292 I295:J295 I298:J298 I301:J301 I304:J304 I307:J307 I310:J310 I313:J313 I316:J316 I8:J8 I95:J95 I172:J172 I104:J104 I121:J121 I124:J124 I127:J127 I130:J130 I133:J133 I136:J136 I142:J142 I145:J145 I148:J148 I151:J151 I154:J154 I157:J157 I160:J160 I163:J163 I166:J166 I169:J169 I176:J176 I101:J101 I179:J179 I196:J196 I199:J199 I202:J202 I205:J205 I208:J208 I211:J211 I217:J217 I220:J220 I223:J223 I226:J226 I229:J229 I235:J235 I238:J238 I241:J241 I244:J244 I247:J247 I232:J232 I319:J319 I322:J322 I326:J326 I329:J329 I346:J346 I349:J349 I352:J352 I355:J355 I358:J358 I361:J361 I367:J367 I370:J370 I373:J373 I376:J376 I379:J379 I382:J382 I385:J385 I388:J388 I391:J391 I394:J394 I397:J397 I2:J2 I5:J5 I62:J62 I139:J139 I214:J214 I289:J289 I364:J364 I29 J29 I106 J106 I181 J181 I256 J256 I331 J331 I31 J31 I108 J108 I183 J183 I258 J258 I333 J333 I33 J33 I110 J110 I185 J185 I260 J260 I335 J335 I35 J35 I112 J112 I187 J187 I262 J262 I337 J337 I37 J37 I114 J114 I189 J189 I264 J264 I339 J339 I39 J39 I116 J116 I191 J191 I266 J266 I341 J341 I41 J41 I118 J118 I193 J193 I268 J268 I343 J343"/>
  </dataValidations>
  <hyperlinks>
    <hyperlink ref="L99" r:id="rId1"/>
  </hyperlinks>
  <pageMargins left="0.7" right="0.7" top="0.75" bottom="0.75" header="0.3" footer="0.3"/>
  <pageSetup paperSize="9" orientation="portrait"/>
  <headerFooter>
    <oddHeader>&amp;L&amp;C&amp;R</oddHeader>
    <oddFooter>&amp;L&amp;C&amp;R</oddFooter>
    <evenHeader>&amp;L&amp;C&amp;R</evenHeader>
    <evenFooter>&amp;L&amp;C&amp;R</evenFooter>
  </headerFooter>
  <drawing r:id="rId2"/>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R17"/>
  <sheetViews>
    <sheetView showGridLines="0" zoomScale="90" workbookViewId="0">
      <pane xSplit="5" ySplit="9" topLeftCell="F10" activePane="bottomRight" state="frozen"/>
      <selection pane="topRight" activeCell="F1" sqref="F1"/>
      <selection pane="bottomLeft" activeCell="A10" sqref="A10"/>
      <selection pane="bottomRight" activeCell="E25" sqref="E25"/>
    </sheetView>
  </sheetViews>
  <sheetFormatPr defaultColWidth="10.5703125" defaultRowHeight="14.25" customHeight="1"/>
  <cols>
    <col min="1" max="1" width="9.140625" style="2007" hidden="1" customWidth="1"/>
    <col min="2" max="2" width="9.140625" style="1293" hidden="1" customWidth="1"/>
    <col min="3" max="3" width="3" style="282" customWidth="1"/>
    <col min="4" max="4" width="6" style="1562" customWidth="1"/>
    <col min="5" max="5" width="53" style="1562" customWidth="1"/>
    <col min="6" max="7" width="35" style="1562" customWidth="1"/>
    <col min="8" max="8" width="89" style="1562" customWidth="1"/>
    <col min="9" max="9" width="10" style="1562" customWidth="1"/>
    <col min="10" max="11" width="10" style="1551" customWidth="1"/>
    <col min="12" max="17" width="10" style="1562" customWidth="1"/>
    <col min="18" max="18" width="10.5703125" style="1562" hidden="1"/>
  </cols>
  <sheetData>
    <row r="1" spans="1:18" ht="22.5" hidden="1" customHeight="1">
      <c r="N1" s="193"/>
      <c r="O1" s="193"/>
      <c r="Q1" s="193"/>
      <c r="R1" s="311" t="s">
        <v>14</v>
      </c>
    </row>
    <row r="2" spans="1:18" s="1562" customFormat="1" ht="18.75" hidden="1" customHeight="1">
      <c r="A2" s="42"/>
      <c r="B2" s="1087"/>
      <c r="C2" s="1656" t="s">
        <v>179</v>
      </c>
      <c r="D2" s="1600"/>
      <c r="E2" s="1609"/>
      <c r="F2" s="195"/>
      <c r="G2" s="1088"/>
      <c r="H2" s="311"/>
      <c r="I2" s="1551"/>
      <c r="J2" s="1551"/>
      <c r="R2" s="1558">
        <v>0</v>
      </c>
    </row>
    <row r="3" spans="1:18" ht="14.25" hidden="1" customHeight="1">
      <c r="R3" s="311">
        <v>0</v>
      </c>
    </row>
    <row r="4" spans="1:18" ht="6" customHeight="1">
      <c r="C4" s="313"/>
      <c r="D4" s="300"/>
      <c r="E4" s="300"/>
      <c r="F4" s="300"/>
      <c r="G4" s="25"/>
      <c r="H4" s="25"/>
      <c r="R4" s="311">
        <v>6</v>
      </c>
    </row>
    <row r="5" spans="1:18" ht="34.5" customHeight="1">
      <c r="C5" s="313"/>
      <c r="D5" s="2810" t="str">
        <f>PURCH_NAME_FORM</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E5" s="2811"/>
      <c r="F5" s="2811"/>
      <c r="G5" s="2812"/>
      <c r="H5" s="204"/>
      <c r="R5" s="311">
        <v>33</v>
      </c>
    </row>
    <row r="6" spans="1:18" s="1562" customFormat="1" ht="18" customHeight="1">
      <c r="A6" s="1596"/>
      <c r="B6" s="1087"/>
      <c r="C6" s="313"/>
      <c r="D6" s="2871" t="str">
        <f>IF(org=0,"Не определено",org)</f>
        <v>ТМУП "ТТС"</v>
      </c>
      <c r="E6" s="2872"/>
      <c r="F6" s="2872"/>
      <c r="G6" s="2873"/>
      <c r="H6" s="204"/>
      <c r="J6" s="1551"/>
      <c r="K6" s="1551"/>
      <c r="R6" s="1558">
        <v>17</v>
      </c>
    </row>
    <row r="7" spans="1:18" ht="15" customHeight="1">
      <c r="C7" s="313"/>
      <c r="D7" s="300"/>
      <c r="E7" s="326"/>
      <c r="F7" s="326"/>
      <c r="G7" s="689"/>
      <c r="H7" s="131"/>
      <c r="R7" s="311">
        <v>14</v>
      </c>
    </row>
    <row r="8" spans="1:18" ht="15" customHeight="1">
      <c r="C8" s="313"/>
      <c r="D8" s="2857" t="s">
        <v>345</v>
      </c>
      <c r="E8" s="2857"/>
      <c r="F8" s="2857"/>
      <c r="G8" s="2857"/>
      <c r="H8" s="3001" t="s">
        <v>346</v>
      </c>
      <c r="R8" s="311">
        <v>14</v>
      </c>
    </row>
    <row r="9" spans="1:18" ht="24" customHeight="1">
      <c r="C9" s="313"/>
      <c r="D9" s="323" t="s">
        <v>93</v>
      </c>
      <c r="E9" s="48" t="s">
        <v>347</v>
      </c>
      <c r="F9" s="48" t="s">
        <v>348</v>
      </c>
      <c r="G9" s="48" t="s">
        <v>435</v>
      </c>
      <c r="H9" s="3001"/>
      <c r="R9" s="311">
        <v>23</v>
      </c>
    </row>
    <row r="10" spans="1:18" ht="69.75" customHeight="1">
      <c r="A10" s="281"/>
      <c r="C10" s="313"/>
      <c r="D10" s="85" t="s">
        <v>114</v>
      </c>
      <c r="E10" s="1811" t="str">
        <f>"Сведения о правовых актах, регламентирующих правила закупки (положение о закупках) в "&amp;IF(TEMPLATE_SPHERE="TKO","организации",IF(TEMPLATE_SPHERE="HEAT","регулируемой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теплоснабжения","организации "&amp;TEMPLATE_SPHERE_RUS))</f>
        <v>Сведения о правовых актах, регламентирующих правила закупки (положение о закупках) в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0" s="2012" t="s">
        <v>1201</v>
      </c>
      <c r="G10" s="151" t="s">
        <v>1202</v>
      </c>
      <c r="H10" s="2802" t="s">
        <v>1203</v>
      </c>
      <c r="R10" s="311">
        <v>14</v>
      </c>
    </row>
    <row r="11" spans="1:18" ht="69" customHeight="1">
      <c r="A11" s="281"/>
      <c r="C11" s="313"/>
      <c r="D11" s="85" t="s">
        <v>115</v>
      </c>
      <c r="E11" s="1811" t="str">
        <f>"Сведения о месте размещения "&amp;IF(TEMPLATE_SPHERE="TKO","положения о закупках в организации",IF(TEMPLATE_SPHERE="HEAT","положения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теплоснабжения","правовых актов, регламентирующих правила закупки (положение о закупках) в организации "&amp;TEMPLATE_SPHERE_RUS))</f>
        <v>Сведения о месте размещения положения о закупке регулируемой организации, единой теплоснабжающей организации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v>
      </c>
      <c r="F11" s="195" t="s">
        <v>1204</v>
      </c>
      <c r="G11" s="151" t="s">
        <v>1205</v>
      </c>
      <c r="H11" s="2803"/>
      <c r="R11" s="311">
        <v>14</v>
      </c>
    </row>
    <row r="12" spans="1:18" ht="45.75" customHeight="1">
      <c r="A12" s="42"/>
      <c r="C12" s="324"/>
      <c r="D12" s="85" t="s">
        <v>95</v>
      </c>
      <c r="E12" s="325" t="str">
        <f>"Сведения о планировании закупочных процедур"&amp;IF(TEMPLATE_SPHERE="TKO"," &lt;1&gt;","")</f>
        <v>Сведения о планировании закупочных процедур</v>
      </c>
      <c r="F12" s="195" t="s">
        <v>1204</v>
      </c>
      <c r="G12" s="151" t="s">
        <v>1205</v>
      </c>
      <c r="H12" s="2803" t="str">
        <f>"В случае наличия дополнительных сведений о способах приобретения, стоимости и объемах товаров, необходимых для производства "&amp;IF(OR(TEMPLATE_SPHERE="HEAT",TEMPLATE_SPHERE="TKO"),"","регулируемых ")&amp;"товаров и (или) оказания "&amp;IF(OR(TEMPLATE_SPHERE="HEAT",TEMPLATE_SPHERE="TKO"),"услуг организацией","регулируемых услуг регулируемой организацией")&amp;", информация по ним указывается в отдельных строках."</f>
        <v>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v>
      </c>
      <c r="I12" s="287"/>
      <c r="K12" s="311"/>
      <c r="R12" s="311">
        <v>14</v>
      </c>
    </row>
    <row r="13" spans="1:18" ht="45.75" customHeight="1">
      <c r="A13" s="42"/>
      <c r="C13" s="324"/>
      <c r="D13" s="85" t="s">
        <v>96</v>
      </c>
      <c r="E13" s="325" t="str">
        <f>"Сведения о результатах проведения закупочных процедур"&amp;IF(TEMPLATE_SPHERE="TKO"," &lt;1&gt;","")</f>
        <v>Сведения о результатах проведения закупочных процедур</v>
      </c>
      <c r="F13" s="195" t="s">
        <v>1204</v>
      </c>
      <c r="G13" s="151" t="s">
        <v>1205</v>
      </c>
      <c r="H13" s="2803"/>
      <c r="I13" s="287"/>
      <c r="K13" s="311"/>
      <c r="R13" s="311">
        <v>14</v>
      </c>
    </row>
    <row r="14" spans="1:18" ht="15" customHeight="1">
      <c r="A14" s="281"/>
      <c r="C14" s="313"/>
      <c r="D14" s="285"/>
      <c r="E14" s="332" t="s">
        <v>367</v>
      </c>
      <c r="F14" s="286"/>
      <c r="G14" s="139"/>
      <c r="H14" s="2804"/>
      <c r="R14" s="311">
        <v>14</v>
      </c>
    </row>
    <row r="15" spans="1:18" s="1562" customFormat="1" ht="15" customHeight="1">
      <c r="A15" s="281"/>
      <c r="B15" s="1087"/>
      <c r="C15" s="313"/>
      <c r="D15" s="333"/>
      <c r="E15" s="1604"/>
      <c r="F15" s="1605"/>
      <c r="G15" s="1606"/>
      <c r="H15" s="1607"/>
      <c r="J15" s="1551"/>
      <c r="K15" s="1551"/>
      <c r="R15" s="1558">
        <v>14</v>
      </c>
    </row>
    <row r="16" spans="1:18" ht="15" customHeight="1">
      <c r="D16" s="1608"/>
      <c r="E16" s="2895"/>
      <c r="F16" s="2895"/>
      <c r="G16" s="2895"/>
      <c r="H16" s="2895"/>
      <c r="R16" s="311">
        <v>14</v>
      </c>
    </row>
    <row r="17" spans="1:18" ht="22.5" hidden="1" customHeight="1">
      <c r="A17" s="301" t="s">
        <v>87</v>
      </c>
      <c r="B17" s="84">
        <v>0</v>
      </c>
      <c r="C17" s="282">
        <v>3</v>
      </c>
      <c r="D17" s="311">
        <v>6</v>
      </c>
      <c r="E17" s="311">
        <v>53</v>
      </c>
      <c r="F17" s="311">
        <v>35</v>
      </c>
      <c r="G17" s="311">
        <v>35</v>
      </c>
      <c r="H17" s="311">
        <v>89</v>
      </c>
      <c r="I17" s="311">
        <v>10</v>
      </c>
      <c r="J17" s="287">
        <v>10</v>
      </c>
      <c r="K17" s="287">
        <v>10</v>
      </c>
      <c r="L17" s="311">
        <v>10</v>
      </c>
      <c r="M17" s="311">
        <v>10</v>
      </c>
      <c r="N17" s="311">
        <v>10</v>
      </c>
      <c r="O17" s="311">
        <v>10</v>
      </c>
      <c r="P17" s="311">
        <v>10</v>
      </c>
      <c r="Q17" s="311">
        <v>10</v>
      </c>
      <c r="R17" s="311">
        <v>23</v>
      </c>
    </row>
  </sheetData>
  <sheetProtection formatColumns="0" formatRows="0" insertRows="0" deleteColumns="0" deleteRows="0" sort="0" autoFilter="0"/>
  <mergeCells count="7">
    <mergeCell ref="E16:H16"/>
    <mergeCell ref="H10:H11"/>
    <mergeCell ref="H12:H14"/>
    <mergeCell ref="D5:G5"/>
    <mergeCell ref="D8:G8"/>
    <mergeCell ref="H8:H9"/>
    <mergeCell ref="D6:G6"/>
  </mergeCells>
  <dataValidations count="2">
    <dataValidation type="textLength" operator="lessThanOrEqual" allowBlank="1" showInputMessage="1" showErrorMessage="1" errorTitle="Ошибка" error="Допускается ввод не более 900 символов!" sqref="H10 E13 E2:F2 F10:F13">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либо ссылку на официальный сайт в сети «Интернет», на котором размещена информация" sqref="G2 G10:G13">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AR174"/>
  <sheetViews>
    <sheetView showGridLines="0" zoomScale="90" workbookViewId="0">
      <pane xSplit="6" ySplit="12" topLeftCell="G96" activePane="bottomRight" state="frozen"/>
      <selection pane="topRight" activeCell="G1" sqref="G1"/>
      <selection pane="bottomLeft" activeCell="A13" sqref="A13"/>
      <selection pane="bottomRight" activeCell="G170" sqref="G170"/>
    </sheetView>
  </sheetViews>
  <sheetFormatPr defaultColWidth="9.140625" defaultRowHeight="11.25" customHeight="1"/>
  <cols>
    <col min="1" max="2" width="3.7109375" style="1551" hidden="1" customWidth="1"/>
    <col min="3" max="3" width="3" style="1778" customWidth="1"/>
    <col min="4" max="4" width="6" style="1778" customWidth="1"/>
    <col min="5" max="5" width="42" style="1778" customWidth="1"/>
    <col min="6" max="6" width="15" style="1778" customWidth="1"/>
    <col min="7" max="7" width="42" style="1778" customWidth="1"/>
    <col min="8" max="8" width="3" style="1778" customWidth="1"/>
    <col min="9" max="9" width="5" style="1778" customWidth="1"/>
    <col min="10" max="10" width="47" style="1778" customWidth="1"/>
    <col min="11" max="11" width="6.7109375" style="1778" customWidth="1"/>
    <col min="12" max="12" width="3" style="1778" customWidth="1"/>
    <col min="13" max="13" width="5" style="1778" customWidth="1"/>
    <col min="14" max="14" width="28" style="1778" customWidth="1"/>
    <col min="15" max="15" width="6.28515625" style="1778" customWidth="1"/>
    <col min="16" max="16" width="3" style="1778" customWidth="1"/>
    <col min="17" max="17" width="5" style="1778" customWidth="1"/>
    <col min="18" max="18" width="34" style="1778" customWidth="1"/>
    <col min="19" max="19" width="6.85546875" style="1778" customWidth="1"/>
    <col min="20" max="20" width="3.7109375" style="1778" customWidth="1"/>
    <col min="21" max="21" width="5.7109375" style="1778" customWidth="1"/>
    <col min="22" max="22" width="34.42578125" style="1778" customWidth="1"/>
    <col min="23" max="23" width="30" style="1778" customWidth="1"/>
    <col min="24" max="24" width="3" style="1778" customWidth="1"/>
    <col min="25" max="28" width="9.85546875" style="1193" hidden="1" customWidth="1"/>
    <col min="29" max="29" width="27" style="1193" hidden="1" customWidth="1"/>
    <col min="30" max="30" width="10.5703125" style="1193" hidden="1" customWidth="1"/>
    <col min="31" max="31" width="10.7109375" style="1193" hidden="1" customWidth="1"/>
    <col min="32" max="32" width="10" style="1193" hidden="1" customWidth="1"/>
    <col min="33" max="33" width="12.85546875" style="1193" hidden="1" customWidth="1"/>
    <col min="34" max="34" width="24.42578125" style="1193" hidden="1" customWidth="1"/>
    <col min="35" max="35" width="15.85546875" style="1193" hidden="1" customWidth="1"/>
    <col min="36" max="36" width="19.42578125" style="1193" hidden="1" customWidth="1"/>
    <col min="37" max="37" width="11" style="1193" hidden="1" customWidth="1"/>
    <col min="38" max="38" width="23.5703125" style="1193" hidden="1" customWidth="1"/>
    <col min="39" max="39" width="23.85546875" style="1193" hidden="1" customWidth="1"/>
    <col min="40" max="40" width="25.28515625" style="1193" hidden="1" customWidth="1"/>
    <col min="41" max="41" width="16.85546875" style="1193" hidden="1" customWidth="1"/>
    <col min="42" max="42" width="29.5703125" style="1193" hidden="1" customWidth="1"/>
    <col min="43" max="43" width="29.85546875" style="1193" hidden="1" customWidth="1"/>
    <col min="44" max="44" width="9.140625" style="1778" hidden="1"/>
  </cols>
  <sheetData>
    <row r="1" spans="1:44" ht="11.25" hidden="1" customHeight="1">
      <c r="A1" s="94"/>
      <c r="AR1" s="44" t="s">
        <v>14</v>
      </c>
    </row>
    <row r="2" spans="1:44" ht="11.25" hidden="1" customHeight="1">
      <c r="AR2" s="44">
        <v>0</v>
      </c>
    </row>
    <row r="3" spans="1:44" ht="11.25" hidden="1" customHeight="1">
      <c r="AR3" s="44">
        <v>0</v>
      </c>
    </row>
    <row r="4" spans="1:44" ht="3" customHeight="1">
      <c r="AR4" s="44">
        <v>3</v>
      </c>
    </row>
    <row r="5" spans="1:44" s="526" customFormat="1" ht="30.75" customHeight="1">
      <c r="A5" s="92"/>
      <c r="B5" s="92"/>
      <c r="D5" s="2810" t="str">
        <f>"Перечень тарифов и технологически не связанных между собой централизованных систем "&amp;TEMPLATE_SPHERE_RUS&amp;", в отношении которых предлагаются различные тарифы в сфере  "&amp;TEMPLATE_SPHERE_RUS&amp;IF(TEMPLATE_SPHERE="HEAT"," и горячего водоснабжения с использованием открытых систем "&amp;TEMPLATE_SPHERE_RUS,"")&amp;" (информация раскрывается отдельно по каждой системе  "&amp;TEMPLATE_SPHERE_RUS&amp;")"</f>
        <v>Перечень тарифов и технологически не связанных между собой централизованных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v>
      </c>
      <c r="E5" s="2811"/>
      <c r="F5" s="2811"/>
      <c r="G5" s="2811"/>
      <c r="H5" s="2811"/>
      <c r="I5" s="2811"/>
      <c r="J5" s="2812"/>
      <c r="K5" s="203"/>
      <c r="L5" s="81"/>
      <c r="M5" s="81"/>
      <c r="N5" s="81"/>
      <c r="O5" s="81"/>
      <c r="P5" s="81"/>
      <c r="Q5" s="81"/>
      <c r="R5" s="81"/>
      <c r="S5" s="228"/>
      <c r="T5" s="228"/>
      <c r="U5" s="228"/>
      <c r="V5" s="228"/>
      <c r="W5" s="81"/>
      <c r="Y5" s="1187"/>
      <c r="Z5" s="1187"/>
      <c r="AA5" s="1187"/>
      <c r="AB5" s="1187"/>
      <c r="AC5" s="1187"/>
      <c r="AD5" s="1187"/>
      <c r="AE5" s="1187"/>
      <c r="AF5" s="1187"/>
      <c r="AG5" s="1187"/>
      <c r="AH5" s="1187"/>
      <c r="AI5" s="1187"/>
      <c r="AJ5" s="1187"/>
      <c r="AK5" s="1187"/>
      <c r="AL5" s="1187"/>
      <c r="AM5" s="1187"/>
      <c r="AN5" s="1187"/>
      <c r="AO5" s="1187"/>
      <c r="AP5" s="1187"/>
      <c r="AQ5" s="1187"/>
      <c r="AR5" s="51">
        <v>29</v>
      </c>
    </row>
    <row r="6" spans="1:44" s="526" customFormat="1" ht="15" customHeight="1">
      <c r="A6" s="522"/>
      <c r="B6" s="522"/>
      <c r="C6" s="522"/>
      <c r="D6" s="2816" t="str">
        <f>IF(org=0,"Не определено",org)</f>
        <v>ТМУП "ТТС"</v>
      </c>
      <c r="E6" s="2816"/>
      <c r="F6" s="2816"/>
      <c r="G6" s="2816"/>
      <c r="H6" s="2816"/>
      <c r="I6" s="2816"/>
      <c r="J6" s="2816"/>
      <c r="K6" s="523"/>
      <c r="L6" s="523"/>
      <c r="M6" s="523"/>
      <c r="N6" s="523"/>
      <c r="O6" s="801"/>
      <c r="P6" s="801"/>
      <c r="Q6" s="801"/>
      <c r="R6" s="801"/>
      <c r="S6" s="801"/>
      <c r="T6" s="801"/>
      <c r="U6" s="801"/>
      <c r="V6" s="801"/>
      <c r="W6" s="801"/>
      <c r="X6" s="523"/>
      <c r="Y6" s="1188"/>
      <c r="Z6" s="1188"/>
      <c r="AA6" s="1188"/>
      <c r="AB6" s="1188"/>
      <c r="AC6" s="1188"/>
      <c r="AD6" s="1188"/>
      <c r="AE6" s="1188"/>
      <c r="AF6" s="1188"/>
      <c r="AG6" s="1188"/>
      <c r="AH6" s="1188"/>
      <c r="AI6" s="1188"/>
      <c r="AJ6" s="1188"/>
      <c r="AK6" s="1188"/>
      <c r="AL6" s="1188"/>
      <c r="AM6" s="1188"/>
      <c r="AN6" s="1188"/>
      <c r="AO6" s="1188"/>
      <c r="AP6" s="1188"/>
      <c r="AQ6" s="1188"/>
      <c r="AR6" s="524">
        <v>14</v>
      </c>
    </row>
    <row r="7" spans="1:44" s="237" customFormat="1" ht="11.25" customHeight="1">
      <c r="A7" s="149"/>
      <c r="B7" s="149"/>
      <c r="D7" s="2813"/>
      <c r="E7" s="2814"/>
      <c r="F7" s="2814"/>
      <c r="G7" s="2814"/>
      <c r="H7" s="2814"/>
      <c r="I7" s="2814"/>
      <c r="J7" s="2815"/>
      <c r="Y7" s="1189"/>
      <c r="Z7" s="1189"/>
      <c r="AA7" s="1189"/>
      <c r="AB7" s="1189"/>
      <c r="AC7" s="1189"/>
      <c r="AD7" s="1189"/>
      <c r="AE7" s="1189"/>
      <c r="AF7" s="1189"/>
      <c r="AG7" s="1189"/>
      <c r="AH7" s="1189"/>
      <c r="AI7" s="1189"/>
      <c r="AJ7" s="1189"/>
      <c r="AK7" s="1189"/>
      <c r="AL7" s="1189"/>
      <c r="AM7" s="1189"/>
      <c r="AN7" s="1189"/>
      <c r="AO7" s="1189"/>
      <c r="AP7" s="1189"/>
      <c r="AQ7" s="1189"/>
      <c r="AR7" s="214">
        <v>11</v>
      </c>
    </row>
    <row r="8" spans="1:44" s="526" customFormat="1" ht="0.75" customHeight="1">
      <c r="A8" s="92"/>
      <c r="B8" s="92"/>
      <c r="D8" s="150"/>
      <c r="E8" s="150"/>
      <c r="F8" s="150"/>
      <c r="G8" s="150"/>
      <c r="H8" s="150"/>
      <c r="I8" s="150"/>
      <c r="J8" s="150"/>
      <c r="K8" s="150"/>
      <c r="L8" s="150"/>
      <c r="M8" s="150"/>
      <c r="N8" s="150"/>
      <c r="O8" s="150"/>
      <c r="P8" s="150"/>
      <c r="Q8" s="150"/>
      <c r="R8" s="150"/>
      <c r="S8" s="150"/>
      <c r="T8" s="150"/>
      <c r="U8" s="150"/>
      <c r="V8" s="150"/>
      <c r="W8" s="150"/>
      <c r="X8" s="71"/>
      <c r="Y8" s="1187"/>
      <c r="Z8" s="1187"/>
      <c r="AA8" s="1187"/>
      <c r="AB8" s="1187"/>
      <c r="AC8" s="1187"/>
      <c r="AD8" s="1187"/>
      <c r="AE8" s="1187"/>
      <c r="AF8" s="1187"/>
      <c r="AG8" s="1187"/>
      <c r="AH8" s="1187"/>
      <c r="AI8" s="1187"/>
      <c r="AJ8" s="1187"/>
      <c r="AK8" s="1187"/>
      <c r="AL8" s="1187"/>
      <c r="AM8" s="1187"/>
      <c r="AN8" s="1187"/>
      <c r="AO8" s="1187"/>
      <c r="AP8" s="1187"/>
      <c r="AQ8" s="1187"/>
      <c r="AR8" s="51">
        <v>1</v>
      </c>
    </row>
    <row r="9" spans="1:44" ht="28.5" customHeight="1">
      <c r="D9" s="2758" t="s">
        <v>93</v>
      </c>
      <c r="E9" s="2740" t="s">
        <v>127</v>
      </c>
      <c r="F9" s="2739"/>
      <c r="G9" s="2758" t="s">
        <v>110</v>
      </c>
      <c r="H9" s="2758" t="s">
        <v>93</v>
      </c>
      <c r="I9" s="2758"/>
      <c r="J9" s="2758" t="s">
        <v>128</v>
      </c>
      <c r="K9" s="2817" t="s">
        <v>129</v>
      </c>
      <c r="L9" s="2817"/>
      <c r="M9" s="2817"/>
      <c r="N9" s="2817"/>
      <c r="O9" s="2817" t="s">
        <v>130</v>
      </c>
      <c r="P9" s="2817"/>
      <c r="Q9" s="2817"/>
      <c r="R9" s="2817"/>
      <c r="S9" s="2817" t="s">
        <v>131</v>
      </c>
      <c r="T9" s="2817"/>
      <c r="U9" s="2817"/>
      <c r="V9" s="2817"/>
      <c r="W9" s="2758" t="s">
        <v>132</v>
      </c>
      <c r="AR9" s="44">
        <v>27</v>
      </c>
    </row>
    <row r="10" spans="1:44" ht="31.5" customHeight="1">
      <c r="D10" s="2758"/>
      <c r="E10" s="1211" t="s">
        <v>94</v>
      </c>
      <c r="F10" s="1211" t="s">
        <v>133</v>
      </c>
      <c r="G10" s="2758"/>
      <c r="H10" s="2758"/>
      <c r="I10" s="2758"/>
      <c r="J10" s="2758"/>
      <c r="K10" s="50" t="s">
        <v>113</v>
      </c>
      <c r="L10" s="2758" t="s">
        <v>93</v>
      </c>
      <c r="M10" s="2758"/>
      <c r="N10" s="50" t="s">
        <v>134</v>
      </c>
      <c r="O10" s="50" t="s">
        <v>113</v>
      </c>
      <c r="P10" s="2758" t="s">
        <v>93</v>
      </c>
      <c r="Q10" s="2758"/>
      <c r="R10" s="50" t="s">
        <v>134</v>
      </c>
      <c r="S10" s="221" t="s">
        <v>113</v>
      </c>
      <c r="T10" s="2758" t="s">
        <v>93</v>
      </c>
      <c r="U10" s="2758"/>
      <c r="V10" s="221" t="s">
        <v>94</v>
      </c>
      <c r="W10" s="2758"/>
      <c r="Z10" s="1186" t="s">
        <v>135</v>
      </c>
      <c r="AA10" s="1186" t="s">
        <v>136</v>
      </c>
      <c r="AB10" s="1186" t="s">
        <v>137</v>
      </c>
      <c r="AC10" s="1186" t="s">
        <v>138</v>
      </c>
      <c r="AD10" s="1186" t="s">
        <v>139</v>
      </c>
      <c r="AE10" s="1186" t="s">
        <v>140</v>
      </c>
      <c r="AF10" s="1186" t="s">
        <v>141</v>
      </c>
      <c r="AG10" s="1186" t="s">
        <v>142</v>
      </c>
      <c r="AH10" s="1186" t="s">
        <v>143</v>
      </c>
      <c r="AI10" s="1186" t="s">
        <v>144</v>
      </c>
      <c r="AJ10" s="1186" t="s">
        <v>145</v>
      </c>
      <c r="AK10" s="1186" t="s">
        <v>146</v>
      </c>
      <c r="AL10" s="1186" t="s">
        <v>147</v>
      </c>
      <c r="AM10" s="1186" t="s">
        <v>148</v>
      </c>
      <c r="AN10" s="1186" t="s">
        <v>149</v>
      </c>
      <c r="AO10" s="1186" t="s">
        <v>150</v>
      </c>
      <c r="AP10" s="1186" t="s">
        <v>151</v>
      </c>
      <c r="AQ10" s="1186" t="s">
        <v>152</v>
      </c>
      <c r="AR10" s="44">
        <v>30</v>
      </c>
    </row>
    <row r="11" spans="1:44" s="1551" customFormat="1" ht="12" hidden="1" customHeight="1">
      <c r="D11" s="1176" t="s">
        <v>114</v>
      </c>
      <c r="E11" s="1176" t="s">
        <v>115</v>
      </c>
      <c r="F11" s="1176"/>
      <c r="G11" s="1176" t="s">
        <v>95</v>
      </c>
      <c r="H11" s="2809" t="s">
        <v>116</v>
      </c>
      <c r="I11" s="2809"/>
      <c r="J11" s="1176" t="s">
        <v>97</v>
      </c>
      <c r="K11" s="1176" t="s">
        <v>98</v>
      </c>
      <c r="L11" s="2809" t="s">
        <v>117</v>
      </c>
      <c r="M11" s="2809"/>
      <c r="N11" s="1176" t="s">
        <v>153</v>
      </c>
      <c r="O11" s="1176" t="s">
        <v>154</v>
      </c>
      <c r="P11" s="2809" t="s">
        <v>155</v>
      </c>
      <c r="Q11" s="2809"/>
      <c r="R11" s="1176" t="s">
        <v>156</v>
      </c>
      <c r="S11" s="1176" t="s">
        <v>155</v>
      </c>
      <c r="T11" s="2809" t="s">
        <v>156</v>
      </c>
      <c r="U11" s="2809"/>
      <c r="V11" s="1176" t="s">
        <v>157</v>
      </c>
      <c r="W11" s="1176" t="s">
        <v>158</v>
      </c>
      <c r="Y11" s="1186"/>
      <c r="Z11" s="1186"/>
      <c r="AA11" s="1186"/>
      <c r="AB11" s="1186"/>
      <c r="AC11" s="1186"/>
      <c r="AD11" s="1186"/>
      <c r="AE11" s="1186"/>
      <c r="AF11" s="1186"/>
      <c r="AG11" s="1186"/>
      <c r="AH11" s="1186"/>
      <c r="AI11" s="1186"/>
      <c r="AJ11" s="1186"/>
      <c r="AK11" s="1186"/>
      <c r="AL11" s="1186"/>
      <c r="AM11" s="1186"/>
      <c r="AN11" s="1186"/>
      <c r="AO11" s="1186"/>
      <c r="AP11" s="1186"/>
      <c r="AQ11" s="1186"/>
      <c r="AR11" s="215">
        <v>0</v>
      </c>
    </row>
    <row r="12" spans="1:44" ht="14.25" hidden="1" customHeight="1">
      <c r="C12" s="147"/>
      <c r="D12" s="1209">
        <v>0</v>
      </c>
      <c r="E12" s="188"/>
      <c r="F12" s="188"/>
      <c r="G12" s="188"/>
      <c r="H12" s="189"/>
      <c r="I12" s="189"/>
      <c r="J12" s="96"/>
      <c r="K12" s="52"/>
      <c r="L12" s="96"/>
      <c r="M12" s="96"/>
      <c r="N12" s="190"/>
      <c r="O12" s="52"/>
      <c r="P12" s="96"/>
      <c r="Q12" s="96"/>
      <c r="R12" s="191"/>
      <c r="S12" s="222"/>
      <c r="T12" s="230"/>
      <c r="U12" s="230"/>
      <c r="V12" s="234"/>
      <c r="W12" s="52"/>
      <c r="X12" s="80"/>
      <c r="AR12" s="44">
        <v>0</v>
      </c>
    </row>
    <row r="13" spans="1:44" s="1778" customFormat="1" ht="17.25" customHeight="1">
      <c r="A13" s="259"/>
      <c r="C13" s="147"/>
      <c r="D13" s="2791">
        <v>1</v>
      </c>
      <c r="E13" s="2780" t="s">
        <v>159</v>
      </c>
      <c r="F13" s="2793" t="s">
        <v>19</v>
      </c>
      <c r="G13" s="2780"/>
      <c r="H13" s="2782"/>
      <c r="I13" s="2784"/>
      <c r="J13" s="2786"/>
      <c r="K13" s="2778"/>
      <c r="L13" s="2778"/>
      <c r="M13" s="2778"/>
      <c r="N13" s="2789"/>
      <c r="O13" s="2778"/>
      <c r="P13" s="2778"/>
      <c r="Q13" s="2778"/>
      <c r="R13" s="2776"/>
      <c r="S13" s="2778"/>
      <c r="T13" s="1347"/>
      <c r="U13" s="1347"/>
      <c r="V13" s="1346"/>
      <c r="W13" s="1223"/>
      <c r="Y13" s="1194"/>
      <c r="Z13" s="1194"/>
      <c r="AA13" s="1194"/>
      <c r="AB13" s="1194"/>
      <c r="AC13" s="1194" t="s">
        <v>160</v>
      </c>
      <c r="AD13" s="1194" t="s">
        <v>161</v>
      </c>
      <c r="AE13" s="1194" t="s">
        <v>162</v>
      </c>
      <c r="AF13" s="1194" t="s">
        <v>163</v>
      </c>
      <c r="AG13" s="1194" t="s">
        <v>164</v>
      </c>
      <c r="AH13" s="1194" t="str">
        <f>IF($E$13=0,"",$E$13)</f>
        <v>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v>
      </c>
      <c r="AI13" s="1194" t="str">
        <f>IF($G$13=0,"",$G$13)</f>
        <v/>
      </c>
      <c r="AJ13" s="1194" t="str">
        <f>IF($J$13=0,"",$J$13)</f>
        <v/>
      </c>
      <c r="AK13" s="1194" t="str">
        <f>IF($K$13="нет","без дифференциации",IF($N$13=0,"",$N$13))</f>
        <v/>
      </c>
      <c r="AL13" s="1194" t="str">
        <f>IF($O$13="нет","без дифференциации",IF($R$13=0,"",$R$13))</f>
        <v/>
      </c>
      <c r="AM13" s="1194" t="str">
        <f>IF($S$13="нет","без дифференциации",IF($V$13=0,"",$V$13))</f>
        <v/>
      </c>
      <c r="AN13" s="1194">
        <f>$I$13</f>
        <v>0</v>
      </c>
      <c r="AO13" s="1194" t="str">
        <f>$I$13&amp;"."&amp;$M$13</f>
        <v>.</v>
      </c>
      <c r="AP13" s="1194" t="str">
        <f>$I$13&amp;"."&amp;$M$13&amp;"."&amp;$Q$13</f>
        <v>..</v>
      </c>
      <c r="AQ13" s="1194" t="str">
        <f>$I$13&amp;"."&amp;$M$13&amp;"."&amp;$Q$13&amp;"."&amp;$U$13</f>
        <v>...</v>
      </c>
      <c r="AR13" s="687">
        <v>0</v>
      </c>
    </row>
    <row r="14" spans="1:44" s="1778" customFormat="1" ht="17.25" customHeight="1">
      <c r="A14" s="259"/>
      <c r="C14" s="258"/>
      <c r="D14" s="2791"/>
      <c r="E14" s="2780"/>
      <c r="F14" s="2794"/>
      <c r="G14" s="2780"/>
      <c r="H14" s="2783"/>
      <c r="I14" s="2785"/>
      <c r="J14" s="2787"/>
      <c r="K14" s="2779"/>
      <c r="L14" s="2779"/>
      <c r="M14" s="2779"/>
      <c r="N14" s="2790"/>
      <c r="O14" s="2779"/>
      <c r="P14" s="2779"/>
      <c r="Q14" s="2779"/>
      <c r="R14" s="2777"/>
      <c r="S14" s="2779"/>
      <c r="T14" s="1224"/>
      <c r="U14" s="1224"/>
      <c r="V14" s="1224"/>
      <c r="W14" s="1225"/>
      <c r="Y14" s="1186"/>
      <c r="Z14" s="1186"/>
      <c r="AA14" s="1186"/>
      <c r="AB14" s="1186"/>
      <c r="AC14" s="1186"/>
      <c r="AD14" s="1186"/>
      <c r="AE14" s="1186"/>
      <c r="AF14" s="1186"/>
      <c r="AG14" s="1186"/>
      <c r="AH14" s="1186"/>
      <c r="AI14" s="1186"/>
      <c r="AJ14" s="1186"/>
      <c r="AK14" s="1186"/>
      <c r="AL14" s="1186"/>
      <c r="AM14" s="1186"/>
      <c r="AN14" s="1186"/>
      <c r="AO14" s="1186"/>
      <c r="AP14" s="1186"/>
      <c r="AQ14" s="1186"/>
      <c r="AR14" s="687">
        <v>0</v>
      </c>
    </row>
    <row r="15" spans="1:44" s="1778" customFormat="1" ht="17.25" customHeight="1">
      <c r="A15" s="259"/>
      <c r="C15" s="147"/>
      <c r="D15" s="2791"/>
      <c r="E15" s="2780"/>
      <c r="F15" s="2794"/>
      <c r="G15" s="2780"/>
      <c r="H15" s="2783"/>
      <c r="I15" s="2785"/>
      <c r="J15" s="2788"/>
      <c r="K15" s="2779"/>
      <c r="L15" s="2779"/>
      <c r="M15" s="2779"/>
      <c r="N15" s="2777"/>
      <c r="O15" s="2779"/>
      <c r="P15" s="1345"/>
      <c r="Q15" s="1224"/>
      <c r="R15" s="1224"/>
      <c r="S15" s="267"/>
      <c r="T15" s="267"/>
      <c r="U15" s="267"/>
      <c r="V15" s="267"/>
      <c r="W15" s="1225"/>
      <c r="Y15" s="1194"/>
      <c r="Z15" s="1194"/>
      <c r="AA15" s="1194"/>
      <c r="AB15" s="1194"/>
      <c r="AC15" s="1194"/>
      <c r="AD15" s="1194"/>
      <c r="AE15" s="1194"/>
      <c r="AF15" s="1194"/>
      <c r="AG15" s="1194"/>
      <c r="AH15" s="1194"/>
      <c r="AI15" s="1194"/>
      <c r="AJ15" s="1194"/>
      <c r="AK15" s="1194"/>
      <c r="AL15" s="1194"/>
      <c r="AM15" s="1194"/>
      <c r="AN15" s="1194"/>
      <c r="AO15" s="1194"/>
      <c r="AP15" s="1194"/>
      <c r="AQ15" s="1194"/>
      <c r="AR15" s="1344">
        <v>0</v>
      </c>
    </row>
    <row r="16" spans="1:44" s="1778" customFormat="1" ht="17.25" customHeight="1">
      <c r="A16" s="259"/>
      <c r="C16" s="258"/>
      <c r="D16" s="2791"/>
      <c r="E16" s="2780"/>
      <c r="F16" s="2794"/>
      <c r="G16" s="2780"/>
      <c r="H16" s="2783"/>
      <c r="I16" s="2785"/>
      <c r="J16" s="2788"/>
      <c r="K16" s="2779"/>
      <c r="L16" s="1224"/>
      <c r="M16" s="1224"/>
      <c r="N16" s="1224"/>
      <c r="O16" s="1224"/>
      <c r="P16" s="1224"/>
      <c r="Q16" s="1224"/>
      <c r="R16" s="1224"/>
      <c r="S16" s="267"/>
      <c r="T16" s="267"/>
      <c r="U16" s="267"/>
      <c r="V16" s="267"/>
      <c r="W16" s="1225"/>
      <c r="Y16" s="1186"/>
      <c r="Z16" s="1186"/>
      <c r="AA16" s="1186"/>
      <c r="AB16" s="1186"/>
      <c r="AC16" s="1186"/>
      <c r="AD16" s="1186"/>
      <c r="AE16" s="1186"/>
      <c r="AF16" s="1186"/>
      <c r="AG16" s="1186"/>
      <c r="AH16" s="1186"/>
      <c r="AI16" s="1186"/>
      <c r="AJ16" s="1186"/>
      <c r="AK16" s="1186"/>
      <c r="AL16" s="1186"/>
      <c r="AM16" s="1186"/>
      <c r="AN16" s="1186"/>
      <c r="AO16" s="1186"/>
      <c r="AP16" s="1186"/>
      <c r="AQ16" s="1186"/>
      <c r="AR16" s="1344">
        <v>0</v>
      </c>
    </row>
    <row r="17" spans="1:44" s="1778" customFormat="1" ht="17.25" customHeight="1">
      <c r="A17" s="259"/>
      <c r="C17" s="258"/>
      <c r="D17" s="2792"/>
      <c r="E17" s="2781"/>
      <c r="F17" s="2795"/>
      <c r="G17" s="2781"/>
      <c r="H17" s="1226"/>
      <c r="I17" s="1227"/>
      <c r="J17" s="1227"/>
      <c r="K17" s="1227"/>
      <c r="L17" s="1227"/>
      <c r="M17" s="1227"/>
      <c r="N17" s="1227"/>
      <c r="O17" s="1227"/>
      <c r="P17" s="1227"/>
      <c r="Q17" s="1227"/>
      <c r="R17" s="1227"/>
      <c r="S17" s="1228"/>
      <c r="T17" s="1228"/>
      <c r="U17" s="1228"/>
      <c r="V17" s="1228"/>
      <c r="W17" s="1229"/>
      <c r="Y17" s="1186"/>
      <c r="Z17" s="1186"/>
      <c r="AA17" s="1186"/>
      <c r="AB17" s="1186"/>
      <c r="AC17" s="1186"/>
      <c r="AD17" s="1186"/>
      <c r="AE17" s="1186"/>
      <c r="AF17" s="1186"/>
      <c r="AG17" s="1186"/>
      <c r="AH17" s="1186"/>
      <c r="AI17" s="1186"/>
      <c r="AJ17" s="1186"/>
      <c r="AK17" s="1186"/>
      <c r="AL17" s="1186"/>
      <c r="AM17" s="1186"/>
      <c r="AN17" s="1186"/>
      <c r="AO17" s="1186"/>
      <c r="AP17" s="1186"/>
      <c r="AQ17" s="1186"/>
      <c r="AR17" s="687">
        <v>0</v>
      </c>
    </row>
    <row r="18" spans="1:44" s="1778" customFormat="1" ht="17.25" customHeight="1">
      <c r="A18" s="259"/>
      <c r="C18" s="147"/>
      <c r="D18" s="2791">
        <v>2</v>
      </c>
      <c r="E18" s="2806" t="s">
        <v>165</v>
      </c>
      <c r="F18" s="2793" t="s">
        <v>71</v>
      </c>
      <c r="G18" s="2818" t="str">
        <f>INDEX(VD_NAME_LIST,MATCH("4190064",VD_ID_LIST,0))</f>
        <v>Производство тепловой энергии. Некомбинированная выработка</v>
      </c>
      <c r="H18" s="2827"/>
      <c r="I18" s="2827">
        <v>1</v>
      </c>
      <c r="J18" s="2825" t="s">
        <v>166</v>
      </c>
      <c r="K18" s="2821" t="s">
        <v>19</v>
      </c>
      <c r="L18" s="2769"/>
      <c r="M18" s="2769" t="s">
        <v>114</v>
      </c>
      <c r="N18" s="2824" t="s">
        <v>30</v>
      </c>
      <c r="O18" s="2821" t="s">
        <v>19</v>
      </c>
      <c r="P18" s="2769"/>
      <c r="Q18" s="2769" t="s">
        <v>114</v>
      </c>
      <c r="R18" s="2823" t="s">
        <v>30</v>
      </c>
      <c r="S18" s="2768" t="s">
        <v>19</v>
      </c>
      <c r="T18" s="1999"/>
      <c r="U18" s="1999" t="s">
        <v>114</v>
      </c>
      <c r="V18" s="2030" t="s">
        <v>30</v>
      </c>
      <c r="W18" s="2009"/>
      <c r="X18" s="1194"/>
      <c r="Y18" s="1194"/>
      <c r="Z18" s="1194"/>
      <c r="AA18" s="1194"/>
      <c r="AB18" s="1194" t="s">
        <v>167</v>
      </c>
      <c r="AC18" s="1194" t="s">
        <v>168</v>
      </c>
      <c r="AD18" s="1194" t="s">
        <v>169</v>
      </c>
      <c r="AE18" s="1194" t="s">
        <v>170</v>
      </c>
      <c r="AF18" s="1194" t="s">
        <v>171</v>
      </c>
      <c r="AG18" s="1194" t="s">
        <v>172</v>
      </c>
      <c r="AH1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18" s="1194" t="str">
        <f>IF($G$18=0,"",$G$18)</f>
        <v>Производство тепловой энергии. Некомбинированная выработка</v>
      </c>
      <c r="AJ18" s="1194" t="str">
        <f>IF($J$18=0,"",$J$18)</f>
        <v>Тарифы на тепловую энергию, поставляемую потребителям г. Тюмени от котельной, расположенной по адресу: г.Тюмень, ул. 4 км. Червишевского тракта, 3, строение 8 (Котельная № 1)</v>
      </c>
      <c r="AK18" s="1194" t="str">
        <f>IF($K$18="нет","без дифференциации",IF($N$18=0,"",$N$18))</f>
        <v>без дифференциации</v>
      </c>
      <c r="AL18" s="1194" t="str">
        <f>IF($O$18="нет","без дифференциации",IF($R$18=0,"",$R$18))</f>
        <v>без дифференциации</v>
      </c>
      <c r="AM18" s="1194" t="str">
        <f>IF($S$18="нет","без дифференциации",IF($V$18=0,"",$V$18))</f>
        <v>без дифференциации</v>
      </c>
      <c r="AN18" s="1698">
        <f>$I$18</f>
        <v>1</v>
      </c>
      <c r="AO18" s="1194" t="str">
        <f>$I$18&amp;"."&amp;$M$18</f>
        <v>1.1</v>
      </c>
      <c r="AP18" s="1186" t="str">
        <f>$I$18&amp;"."&amp;$M$18&amp;"."&amp;$Q$18</f>
        <v>1.1.1</v>
      </c>
      <c r="AQ18" s="1186" t="str">
        <f>$I$18&amp;"."&amp;$M$18&amp;"."&amp;$Q$18&amp;"."&amp;$U$18</f>
        <v>1.1.1.1</v>
      </c>
      <c r="AR18" s="1210">
        <v>0</v>
      </c>
    </row>
    <row r="19" spans="1:44" s="1778" customFormat="1" ht="17.25" customHeight="1">
      <c r="A19" s="259"/>
      <c r="C19" s="258"/>
      <c r="D19" s="2791"/>
      <c r="E19" s="2806"/>
      <c r="F19" s="2794"/>
      <c r="G19" s="2818"/>
      <c r="H19" s="2827"/>
      <c r="I19" s="2827"/>
      <c r="J19" s="2825" t="s">
        <v>173</v>
      </c>
      <c r="K19" s="2822"/>
      <c r="L19" s="2769"/>
      <c r="M19" s="2769"/>
      <c r="N19" s="2824" t="s">
        <v>30</v>
      </c>
      <c r="O19" s="2822"/>
      <c r="P19" s="2769"/>
      <c r="Q19" s="2769"/>
      <c r="R19" s="2823" t="s">
        <v>30</v>
      </c>
      <c r="S19" s="2768"/>
      <c r="T19" s="2031"/>
      <c r="U19" s="2032"/>
      <c r="V19" s="2033" t="s">
        <v>174</v>
      </c>
      <c r="W19" s="2034"/>
      <c r="X19" s="1186"/>
      <c r="Y19" s="1186"/>
      <c r="Z19" s="1186"/>
      <c r="AA19" s="1186"/>
      <c r="AB19" s="1186"/>
      <c r="AC19" s="1186"/>
      <c r="AD19" s="1186"/>
      <c r="AE19" s="1186"/>
      <c r="AF19" s="1186"/>
      <c r="AG19" s="1186"/>
      <c r="AH19" s="1186"/>
      <c r="AI19" s="1186"/>
      <c r="AJ19" s="1186"/>
      <c r="AK19" s="1186"/>
      <c r="AL19" s="1186"/>
      <c r="AM19" s="1186"/>
      <c r="AN19" s="1186"/>
      <c r="AO19" s="1186"/>
      <c r="AP19" s="1186"/>
      <c r="AQ19" s="1186"/>
      <c r="AR19" s="1210">
        <v>0</v>
      </c>
    </row>
    <row r="20" spans="1:44" s="1778" customFormat="1" ht="17.25" customHeight="1">
      <c r="A20" s="259"/>
      <c r="C20" s="258"/>
      <c r="D20" s="2792"/>
      <c r="E20" s="2807"/>
      <c r="F20" s="2794"/>
      <c r="G20" s="2819"/>
      <c r="H20" s="2792"/>
      <c r="I20" s="2792"/>
      <c r="J20" s="2826" t="s">
        <v>175</v>
      </c>
      <c r="K20" s="2822"/>
      <c r="L20" s="2792"/>
      <c r="M20" s="2792"/>
      <c r="N20" s="2823" t="s">
        <v>30</v>
      </c>
      <c r="O20" s="2773"/>
      <c r="P20" s="2035"/>
      <c r="Q20" s="2036"/>
      <c r="R20" s="2037" t="s">
        <v>176</v>
      </c>
      <c r="S20" s="2038"/>
      <c r="T20" s="2039"/>
      <c r="U20" s="2040"/>
      <c r="V20" s="2041"/>
      <c r="W20" s="2042"/>
      <c r="X20" s="1186"/>
      <c r="Y20" s="1186"/>
      <c r="Z20" s="1186"/>
      <c r="AA20" s="1186"/>
      <c r="AB20" s="1186"/>
      <c r="AC20" s="1186"/>
      <c r="AD20" s="1186"/>
      <c r="AE20" s="1186"/>
      <c r="AF20" s="1186"/>
      <c r="AG20" s="1186"/>
      <c r="AH20" s="1186"/>
      <c r="AI20" s="1186"/>
      <c r="AJ20" s="1186"/>
      <c r="AK20" s="1186"/>
      <c r="AL20" s="1186"/>
      <c r="AM20" s="1186"/>
      <c r="AN20" s="1186"/>
      <c r="AO20" s="1186"/>
      <c r="AP20" s="1186"/>
      <c r="AQ20" s="1186"/>
      <c r="AR20" s="1210">
        <v>0</v>
      </c>
    </row>
    <row r="21" spans="1:44" s="1778" customFormat="1" ht="17.25" customHeight="1">
      <c r="A21" s="259"/>
      <c r="C21" s="258"/>
      <c r="D21" s="2792"/>
      <c r="E21" s="2807"/>
      <c r="F21" s="2794"/>
      <c r="G21" s="2819"/>
      <c r="H21" s="2792"/>
      <c r="I21" s="2792"/>
      <c r="J21" s="2826" t="s">
        <v>177</v>
      </c>
      <c r="K21" s="2773"/>
      <c r="L21" s="2043"/>
      <c r="M21" s="2044"/>
      <c r="N21" s="2045" t="s">
        <v>178</v>
      </c>
      <c r="O21" s="2046"/>
      <c r="P21" s="2047"/>
      <c r="Q21" s="2048"/>
      <c r="R21" s="2049"/>
      <c r="S21" s="2050"/>
      <c r="T21" s="2051"/>
      <c r="U21" s="2052"/>
      <c r="V21" s="2053"/>
      <c r="W21" s="2054"/>
      <c r="X21" s="1186"/>
      <c r="Y21" s="1186"/>
      <c r="Z21" s="1186"/>
      <c r="AA21" s="1186"/>
      <c r="AB21" s="1186"/>
      <c r="AC21" s="1186"/>
      <c r="AD21" s="1186"/>
      <c r="AE21" s="1186"/>
      <c r="AF21" s="1186"/>
      <c r="AG21" s="1186"/>
      <c r="AH21" s="1186"/>
      <c r="AI21" s="1186"/>
      <c r="AJ21" s="1186"/>
      <c r="AK21" s="1186"/>
      <c r="AL21" s="1186"/>
      <c r="AM21" s="1186"/>
      <c r="AN21" s="1186"/>
      <c r="AO21" s="1186"/>
      <c r="AP21" s="1186"/>
      <c r="AQ21" s="1186"/>
      <c r="AR21" s="1210">
        <v>0</v>
      </c>
    </row>
    <row r="22" spans="1:44" ht="17.25" customHeight="1">
      <c r="A22" s="1765"/>
      <c r="B22" s="1778"/>
      <c r="C22" s="1767"/>
      <c r="D22" s="2805"/>
      <c r="E22" s="2808"/>
      <c r="F22" s="2794"/>
      <c r="G22" s="2820"/>
      <c r="H22" s="2827" t="s">
        <v>179</v>
      </c>
      <c r="I22" s="2827" t="s">
        <v>115</v>
      </c>
      <c r="J22" s="2825" t="s">
        <v>173</v>
      </c>
      <c r="K22" s="2821" t="s">
        <v>19</v>
      </c>
      <c r="L22" s="2769"/>
      <c r="M22" s="2769" t="s">
        <v>114</v>
      </c>
      <c r="N22" s="2824" t="s">
        <v>30</v>
      </c>
      <c r="O22" s="2821" t="s">
        <v>19</v>
      </c>
      <c r="P22" s="2769"/>
      <c r="Q22" s="2769" t="s">
        <v>114</v>
      </c>
      <c r="R22" s="2823" t="s">
        <v>30</v>
      </c>
      <c r="S22" s="2768" t="s">
        <v>19</v>
      </c>
      <c r="T22" s="1737"/>
      <c r="U22" s="1737" t="s">
        <v>114</v>
      </c>
      <c r="V22" s="2055" t="s">
        <v>30</v>
      </c>
      <c r="W22" s="1727"/>
      <c r="Y22" s="1194"/>
      <c r="Z22" s="1194"/>
      <c r="AA22" s="1194"/>
      <c r="AB22" s="1194"/>
      <c r="AC22" s="1896" t="s">
        <v>168</v>
      </c>
      <c r="AD22" s="1194" t="s">
        <v>180</v>
      </c>
      <c r="AE22" s="1194" t="s">
        <v>181</v>
      </c>
      <c r="AF22" s="1194" t="s">
        <v>182</v>
      </c>
      <c r="AG22" s="1194" t="s">
        <v>183</v>
      </c>
      <c r="AH22" s="1194" t="str">
        <f>IF($E$18=0,"",$E$18)</f>
        <v>Тарифы на тепловую энергию (мощность), поставляемую теплоснабжающими организациями потребителям, другим теплоснабжающим организациям</v>
      </c>
      <c r="AI22" s="1194" t="str">
        <f>IF($G$18=0,"",$G$18)</f>
        <v>Производство тепловой энергии. Некомбинированная выработка</v>
      </c>
      <c r="AJ22" s="1194" t="str">
        <f>IF($J$22=0,"",$J$22)</f>
        <v>Тарифы на тепловую энергию, поставляемую потребителям г. Тюмени от котельной, расположенной по адресу: г. Тюмень, ул. Дружбы, 132, строение 2 (Котельная № 5)</v>
      </c>
      <c r="AK22" s="1194" t="str">
        <f>IF($K$22="нет","без дифференциации",IF($N$22=0,"",$N$22))</f>
        <v>без дифференциации</v>
      </c>
      <c r="AL22" s="1769" t="str">
        <f>IF($O$22="нет","без дифференциации",IF($R$22=0,"",$R$22))</f>
        <v>без дифференциации</v>
      </c>
      <c r="AM22" s="1769" t="str">
        <f>IF($S$22="нет","без дифференциации",IF($V$22=0,"",$V$22))</f>
        <v>без дифференциации</v>
      </c>
      <c r="AN22" s="1194" t="str">
        <f>$I$22</f>
        <v>2</v>
      </c>
      <c r="AO22" s="1194" t="str">
        <f>$I$22&amp;"."&amp;$M$22</f>
        <v>2.1</v>
      </c>
      <c r="AP22" s="1194" t="str">
        <f>$I$22&amp;"."&amp;$M$22&amp;"."&amp;$Q$22</f>
        <v>2.1.1</v>
      </c>
      <c r="AQ22" s="1194" t="str">
        <f>$I$22&amp;"."&amp;$M$22&amp;"."&amp;$Q$22&amp;"."&amp;$U$22</f>
        <v>2.1.1.1</v>
      </c>
    </row>
    <row r="23" spans="1:44" ht="17.25" customHeight="1">
      <c r="A23" s="1765"/>
      <c r="B23" s="1778"/>
      <c r="C23" s="1770"/>
      <c r="D23" s="2805"/>
      <c r="E23" s="2808"/>
      <c r="F23" s="2794"/>
      <c r="G23" s="2820"/>
      <c r="H23" s="2827"/>
      <c r="I23" s="2827"/>
      <c r="J23" s="2825"/>
      <c r="K23" s="2822"/>
      <c r="L23" s="2769"/>
      <c r="M23" s="2769"/>
      <c r="N23" s="2824" t="s">
        <v>30</v>
      </c>
      <c r="O23" s="2822"/>
      <c r="P23" s="2769"/>
      <c r="Q23" s="2769"/>
      <c r="R23" s="2823" t="s">
        <v>30</v>
      </c>
      <c r="S23" s="2768"/>
      <c r="T23" s="255"/>
      <c r="U23" s="256"/>
      <c r="V23" s="256" t="s">
        <v>174</v>
      </c>
      <c r="W23" s="257"/>
      <c r="Y23" s="1186"/>
      <c r="Z23" s="1186"/>
      <c r="AA23" s="1186"/>
      <c r="AB23" s="1186"/>
      <c r="AC23" s="1186"/>
      <c r="AD23" s="1186"/>
      <c r="AE23" s="1186"/>
      <c r="AF23" s="1186"/>
      <c r="AG23" s="1186"/>
      <c r="AH23" s="1186"/>
      <c r="AI23" s="1186"/>
      <c r="AJ23" s="1186"/>
      <c r="AK23" s="1186"/>
      <c r="AL23" s="1778"/>
      <c r="AM23" s="1778"/>
      <c r="AN23" s="1778"/>
      <c r="AO23" s="1778"/>
      <c r="AP23" s="1778"/>
      <c r="AQ23" s="1778"/>
    </row>
    <row r="24" spans="1:44" ht="17.25" customHeight="1">
      <c r="A24" s="1765"/>
      <c r="B24" s="1778"/>
      <c r="C24" s="1770"/>
      <c r="D24" s="2805"/>
      <c r="E24" s="2808"/>
      <c r="F24" s="2794"/>
      <c r="G24" s="2820"/>
      <c r="H24" s="2792"/>
      <c r="I24" s="2792"/>
      <c r="J24" s="2826"/>
      <c r="K24" s="2822"/>
      <c r="L24" s="2792"/>
      <c r="M24" s="2792"/>
      <c r="N24" s="2823" t="s">
        <v>30</v>
      </c>
      <c r="O24" s="2773"/>
      <c r="P24" s="255"/>
      <c r="Q24" s="256"/>
      <c r="R24" s="256" t="s">
        <v>176</v>
      </c>
      <c r="S24" s="1771"/>
      <c r="T24" s="1771"/>
      <c r="U24" s="1771"/>
      <c r="V24" s="1771"/>
      <c r="W24" s="257"/>
      <c r="Y24" s="1186"/>
      <c r="Z24" s="1186"/>
      <c r="AA24" s="1186"/>
      <c r="AB24" s="1186"/>
      <c r="AC24" s="1186"/>
      <c r="AD24" s="1186"/>
      <c r="AE24" s="1186"/>
      <c r="AF24" s="1186"/>
      <c r="AG24" s="1186"/>
      <c r="AH24" s="1186"/>
      <c r="AI24" s="1186"/>
      <c r="AJ24" s="1186"/>
      <c r="AK24" s="1186"/>
      <c r="AL24" s="1778"/>
      <c r="AM24" s="1778"/>
      <c r="AN24" s="1778"/>
      <c r="AO24" s="1778"/>
      <c r="AP24" s="1778"/>
      <c r="AQ24" s="1778"/>
    </row>
    <row r="25" spans="1:44" ht="17.25" customHeight="1">
      <c r="A25" s="1765"/>
      <c r="B25" s="1778"/>
      <c r="C25" s="1770"/>
      <c r="D25" s="2805"/>
      <c r="E25" s="2808"/>
      <c r="F25" s="2794"/>
      <c r="G25" s="2820"/>
      <c r="H25" s="2792"/>
      <c r="I25" s="2792"/>
      <c r="J25" s="2826"/>
      <c r="K25" s="2773"/>
      <c r="L25" s="255"/>
      <c r="M25" s="256"/>
      <c r="N25" s="256" t="s">
        <v>178</v>
      </c>
      <c r="O25" s="256"/>
      <c r="P25" s="256"/>
      <c r="Q25" s="256"/>
      <c r="R25" s="256"/>
      <c r="S25" s="1771"/>
      <c r="T25" s="1771"/>
      <c r="U25" s="1771"/>
      <c r="V25" s="1771"/>
      <c r="W25" s="257"/>
      <c r="Y25" s="1186"/>
      <c r="Z25" s="1186"/>
      <c r="AA25" s="1186"/>
      <c r="AB25" s="1186"/>
      <c r="AC25" s="1186"/>
      <c r="AD25" s="1186"/>
      <c r="AE25" s="1186"/>
      <c r="AF25" s="1186"/>
      <c r="AG25" s="1186"/>
      <c r="AH25" s="1186"/>
      <c r="AI25" s="1186"/>
      <c r="AJ25" s="1186"/>
      <c r="AK25" s="1186"/>
      <c r="AL25" s="1778"/>
      <c r="AM25" s="1778"/>
      <c r="AN25" s="1778"/>
      <c r="AO25" s="1778"/>
      <c r="AP25" s="1778"/>
      <c r="AQ25" s="1778"/>
    </row>
    <row r="26" spans="1:44" ht="17.25" customHeight="1">
      <c r="A26" s="1765"/>
      <c r="B26" s="1778"/>
      <c r="C26" s="1767"/>
      <c r="D26" s="2805"/>
      <c r="E26" s="2808"/>
      <c r="F26" s="2794"/>
      <c r="G26" s="2820"/>
      <c r="H26" s="2827" t="s">
        <v>179</v>
      </c>
      <c r="I26" s="2827" t="s">
        <v>95</v>
      </c>
      <c r="J26" s="2825" t="s">
        <v>175</v>
      </c>
      <c r="K26" s="2821" t="s">
        <v>19</v>
      </c>
      <c r="L26" s="2769"/>
      <c r="M26" s="2769" t="s">
        <v>114</v>
      </c>
      <c r="N26" s="2824" t="s">
        <v>30</v>
      </c>
      <c r="O26" s="2821" t="s">
        <v>19</v>
      </c>
      <c r="P26" s="2769"/>
      <c r="Q26" s="2769" t="s">
        <v>114</v>
      </c>
      <c r="R26" s="2823" t="s">
        <v>30</v>
      </c>
      <c r="S26" s="2768" t="s">
        <v>19</v>
      </c>
      <c r="T26" s="1737"/>
      <c r="U26" s="1737" t="s">
        <v>114</v>
      </c>
      <c r="V26" s="2055" t="s">
        <v>30</v>
      </c>
      <c r="W26" s="1727"/>
      <c r="Y26" s="1194"/>
      <c r="Z26" s="1194"/>
      <c r="AA26" s="1194"/>
      <c r="AB26" s="1194"/>
      <c r="AC26" s="1896" t="s">
        <v>168</v>
      </c>
      <c r="AD26" s="1194" t="s">
        <v>184</v>
      </c>
      <c r="AE26" s="1194" t="s">
        <v>185</v>
      </c>
      <c r="AF26" s="1194" t="s">
        <v>186</v>
      </c>
      <c r="AG26" s="1194" t="s">
        <v>187</v>
      </c>
      <c r="AH26" s="1194" t="str">
        <f>IF($E$18=0,"",$E$18)</f>
        <v>Тарифы на тепловую энергию (мощность), поставляемую теплоснабжающими организациями потребителям, другим теплоснабжающим организациям</v>
      </c>
      <c r="AI26" s="1194" t="str">
        <f>IF($G$18=0,"",$G$18)</f>
        <v>Производство тепловой энергии. Некомбинированная выработка</v>
      </c>
      <c r="AJ26" s="1194" t="str">
        <f>IF($J$26=0,"",$J$26)</f>
        <v>Тарифы на тепловую энергию, поставляемую потребителям г. Тюмени от котельной, расположенной по адресу: г.Тюмень, ул. Электросетей, 1, строение 1 (Котельная № 6)</v>
      </c>
      <c r="AK26" s="1194" t="str">
        <f>IF($K$26="нет","без дифференциации",IF($N$26=0,"",$N$26))</f>
        <v>без дифференциации</v>
      </c>
      <c r="AL26" s="1769" t="str">
        <f>IF($O$26="нет","без дифференциации",IF($R$26=0,"",$R$26))</f>
        <v>без дифференциации</v>
      </c>
      <c r="AM26" s="1769" t="str">
        <f>IF($S$26="нет","без дифференциации",IF($V$26=0,"",$V$26))</f>
        <v>без дифференциации</v>
      </c>
      <c r="AN26" s="1194" t="str">
        <f>$I$26</f>
        <v>3</v>
      </c>
      <c r="AO26" s="1194" t="str">
        <f>$I$26&amp;"."&amp;$M$26</f>
        <v>3.1</v>
      </c>
      <c r="AP26" s="1194" t="str">
        <f>$I$26&amp;"."&amp;$M$26&amp;"."&amp;$Q$26</f>
        <v>3.1.1</v>
      </c>
      <c r="AQ26" s="1194" t="str">
        <f>$I$26&amp;"."&amp;$M$26&amp;"."&amp;$Q$26&amp;"."&amp;$U$26</f>
        <v>3.1.1.1</v>
      </c>
    </row>
    <row r="27" spans="1:44" ht="17.25" customHeight="1">
      <c r="A27" s="1765"/>
      <c r="B27" s="1778"/>
      <c r="C27" s="1770"/>
      <c r="D27" s="2805"/>
      <c r="E27" s="2808"/>
      <c r="F27" s="2794"/>
      <c r="G27" s="2820"/>
      <c r="H27" s="2827"/>
      <c r="I27" s="2827"/>
      <c r="J27" s="2825"/>
      <c r="K27" s="2822"/>
      <c r="L27" s="2769"/>
      <c r="M27" s="2769"/>
      <c r="N27" s="2824" t="s">
        <v>30</v>
      </c>
      <c r="O27" s="2822"/>
      <c r="P27" s="2769"/>
      <c r="Q27" s="2769"/>
      <c r="R27" s="2823" t="s">
        <v>30</v>
      </c>
      <c r="S27" s="2768"/>
      <c r="T27" s="255"/>
      <c r="U27" s="256"/>
      <c r="V27" s="256" t="s">
        <v>174</v>
      </c>
      <c r="W27" s="257"/>
      <c r="Y27" s="1186"/>
      <c r="Z27" s="1186"/>
      <c r="AA27" s="1186"/>
      <c r="AB27" s="1186"/>
      <c r="AC27" s="1186"/>
      <c r="AD27" s="1186"/>
      <c r="AE27" s="1186"/>
      <c r="AF27" s="1186"/>
      <c r="AG27" s="1186"/>
      <c r="AH27" s="1186"/>
      <c r="AI27" s="1186"/>
      <c r="AJ27" s="1186"/>
      <c r="AK27" s="1186"/>
      <c r="AL27" s="1778"/>
      <c r="AM27" s="1778"/>
      <c r="AN27" s="1778"/>
      <c r="AO27" s="1778"/>
      <c r="AP27" s="1778"/>
      <c r="AQ27" s="1778"/>
    </row>
    <row r="28" spans="1:44" ht="17.25" customHeight="1">
      <c r="A28" s="1765"/>
      <c r="B28" s="1778"/>
      <c r="C28" s="1770"/>
      <c r="D28" s="2805"/>
      <c r="E28" s="2808"/>
      <c r="F28" s="2794"/>
      <c r="G28" s="2820"/>
      <c r="H28" s="2792"/>
      <c r="I28" s="2792"/>
      <c r="J28" s="2826"/>
      <c r="K28" s="2822"/>
      <c r="L28" s="2792"/>
      <c r="M28" s="2792"/>
      <c r="N28" s="2823" t="s">
        <v>30</v>
      </c>
      <c r="O28" s="2773"/>
      <c r="P28" s="255"/>
      <c r="Q28" s="256"/>
      <c r="R28" s="256" t="s">
        <v>176</v>
      </c>
      <c r="S28" s="1771"/>
      <c r="T28" s="1771"/>
      <c r="U28" s="1771"/>
      <c r="V28" s="1771"/>
      <c r="W28" s="257"/>
      <c r="Y28" s="1186"/>
      <c r="Z28" s="1186"/>
      <c r="AA28" s="1186"/>
      <c r="AB28" s="1186"/>
      <c r="AC28" s="1186"/>
      <c r="AD28" s="1186"/>
      <c r="AE28" s="1186"/>
      <c r="AF28" s="1186"/>
      <c r="AG28" s="1186"/>
      <c r="AH28" s="1186"/>
      <c r="AI28" s="1186"/>
      <c r="AJ28" s="1186"/>
      <c r="AK28" s="1186"/>
      <c r="AL28" s="1778"/>
      <c r="AM28" s="1778"/>
      <c r="AN28" s="1778"/>
      <c r="AO28" s="1778"/>
      <c r="AP28" s="1778"/>
      <c r="AQ28" s="1778"/>
    </row>
    <row r="29" spans="1:44" ht="17.25" customHeight="1">
      <c r="A29" s="1765"/>
      <c r="B29" s="1778"/>
      <c r="C29" s="1770"/>
      <c r="D29" s="2805"/>
      <c r="E29" s="2808"/>
      <c r="F29" s="2794"/>
      <c r="G29" s="2820"/>
      <c r="H29" s="2792"/>
      <c r="I29" s="2792"/>
      <c r="J29" s="2826"/>
      <c r="K29" s="2773"/>
      <c r="L29" s="255"/>
      <c r="M29" s="256"/>
      <c r="N29" s="256" t="s">
        <v>178</v>
      </c>
      <c r="O29" s="256"/>
      <c r="P29" s="256"/>
      <c r="Q29" s="256"/>
      <c r="R29" s="256"/>
      <c r="S29" s="1771"/>
      <c r="T29" s="1771"/>
      <c r="U29" s="1771"/>
      <c r="V29" s="1771"/>
      <c r="W29" s="257"/>
      <c r="Y29" s="1186"/>
      <c r="Z29" s="1186"/>
      <c r="AA29" s="1186"/>
      <c r="AB29" s="1186"/>
      <c r="AC29" s="1186"/>
      <c r="AD29" s="1186"/>
      <c r="AE29" s="1186"/>
      <c r="AF29" s="1186"/>
      <c r="AG29" s="1186"/>
      <c r="AH29" s="1186"/>
      <c r="AI29" s="1186"/>
      <c r="AJ29" s="1186"/>
      <c r="AK29" s="1186"/>
      <c r="AL29" s="1778"/>
      <c r="AM29" s="1778"/>
      <c r="AN29" s="1778"/>
      <c r="AO29" s="1778"/>
      <c r="AP29" s="1778"/>
      <c r="AQ29" s="1778"/>
    </row>
    <row r="30" spans="1:44" ht="17.25" customHeight="1">
      <c r="A30" s="1765"/>
      <c r="B30" s="1778"/>
      <c r="C30" s="1767"/>
      <c r="D30" s="2805"/>
      <c r="E30" s="2808"/>
      <c r="F30" s="2794"/>
      <c r="G30" s="2820"/>
      <c r="H30" s="2827" t="s">
        <v>179</v>
      </c>
      <c r="I30" s="2827" t="s">
        <v>96</v>
      </c>
      <c r="J30" s="2825" t="s">
        <v>177</v>
      </c>
      <c r="K30" s="2821" t="s">
        <v>19</v>
      </c>
      <c r="L30" s="2769"/>
      <c r="M30" s="2769" t="s">
        <v>114</v>
      </c>
      <c r="N30" s="2824" t="s">
        <v>30</v>
      </c>
      <c r="O30" s="2821" t="s">
        <v>19</v>
      </c>
      <c r="P30" s="2769"/>
      <c r="Q30" s="2769" t="s">
        <v>114</v>
      </c>
      <c r="R30" s="2823" t="s">
        <v>30</v>
      </c>
      <c r="S30" s="2768" t="s">
        <v>19</v>
      </c>
      <c r="T30" s="1737"/>
      <c r="U30" s="1737" t="s">
        <v>114</v>
      </c>
      <c r="V30" s="2055" t="s">
        <v>30</v>
      </c>
      <c r="W30" s="1727"/>
      <c r="Y30" s="1194"/>
      <c r="Z30" s="1194"/>
      <c r="AA30" s="1194"/>
      <c r="AB30" s="1194"/>
      <c r="AC30" s="1896" t="s">
        <v>168</v>
      </c>
      <c r="AD30" s="1194" t="s">
        <v>188</v>
      </c>
      <c r="AE30" s="1194" t="s">
        <v>189</v>
      </c>
      <c r="AF30" s="1194" t="s">
        <v>190</v>
      </c>
      <c r="AG30" s="1194" t="s">
        <v>191</v>
      </c>
      <c r="AH30" s="1194" t="str">
        <f>IF($E$18=0,"",$E$18)</f>
        <v>Тарифы на тепловую энергию (мощность), поставляемую теплоснабжающими организациями потребителям, другим теплоснабжающим организациям</v>
      </c>
      <c r="AI30" s="1194" t="str">
        <f>IF($G$18=0,"",$G$18)</f>
        <v>Производство тепловой энергии. Некомбинированная выработка</v>
      </c>
      <c r="AJ30" s="1194" t="str">
        <f>IF($J$30=0,"",$J$30)</f>
        <v>Тарифы на тепловую энергию, поставляемую потребителям г. Тюмени от котельной, расположенной по адресу: г.Тюмень, ул. Луначарского, 18, строение 1 (Котельная № 7)</v>
      </c>
      <c r="AK30" s="1194" t="str">
        <f>IF($K$30="нет","без дифференциации",IF($N$30=0,"",$N$30))</f>
        <v>без дифференциации</v>
      </c>
      <c r="AL30" s="1769" t="str">
        <f>IF($O$30="нет","без дифференциации",IF($R$30=0,"",$R$30))</f>
        <v>без дифференциации</v>
      </c>
      <c r="AM30" s="1769" t="str">
        <f>IF($S$30="нет","без дифференциации",IF($V$30=0,"",$V$30))</f>
        <v>без дифференциации</v>
      </c>
      <c r="AN30" s="1194" t="str">
        <f>$I$30</f>
        <v>4</v>
      </c>
      <c r="AO30" s="1194" t="str">
        <f>$I$30&amp;"."&amp;$M$30</f>
        <v>4.1</v>
      </c>
      <c r="AP30" s="1194" t="str">
        <f>$I$30&amp;"."&amp;$M$30&amp;"."&amp;$Q$30</f>
        <v>4.1.1</v>
      </c>
      <c r="AQ30" s="1194" t="str">
        <f>$I$30&amp;"."&amp;$M$30&amp;"."&amp;$Q$30&amp;"."&amp;$U$30</f>
        <v>4.1.1.1</v>
      </c>
    </row>
    <row r="31" spans="1:44" ht="17.25" customHeight="1">
      <c r="A31" s="1765"/>
      <c r="B31" s="1778"/>
      <c r="C31" s="1770"/>
      <c r="D31" s="2805"/>
      <c r="E31" s="2808"/>
      <c r="F31" s="2794"/>
      <c r="G31" s="2820"/>
      <c r="H31" s="2827"/>
      <c r="I31" s="2827"/>
      <c r="J31" s="2825"/>
      <c r="K31" s="2822"/>
      <c r="L31" s="2769"/>
      <c r="M31" s="2769"/>
      <c r="N31" s="2824" t="s">
        <v>30</v>
      </c>
      <c r="O31" s="2822"/>
      <c r="P31" s="2769"/>
      <c r="Q31" s="2769"/>
      <c r="R31" s="2823" t="s">
        <v>30</v>
      </c>
      <c r="S31" s="2768"/>
      <c r="T31" s="255"/>
      <c r="U31" s="256"/>
      <c r="V31" s="256" t="s">
        <v>174</v>
      </c>
      <c r="W31" s="257"/>
      <c r="Y31" s="1186"/>
      <c r="Z31" s="1186"/>
      <c r="AA31" s="1186"/>
      <c r="AB31" s="1186"/>
      <c r="AC31" s="1186"/>
      <c r="AD31" s="1186"/>
      <c r="AE31" s="1186"/>
      <c r="AF31" s="1186"/>
      <c r="AG31" s="1186"/>
      <c r="AH31" s="1186"/>
      <c r="AI31" s="1186"/>
      <c r="AJ31" s="1186"/>
      <c r="AK31" s="1186"/>
      <c r="AL31" s="1778"/>
      <c r="AM31" s="1778"/>
      <c r="AN31" s="1778"/>
      <c r="AO31" s="1778"/>
      <c r="AP31" s="1778"/>
      <c r="AQ31" s="1778"/>
    </row>
    <row r="32" spans="1:44" ht="17.25" customHeight="1">
      <c r="A32" s="1765"/>
      <c r="B32" s="1778"/>
      <c r="C32" s="1770"/>
      <c r="D32" s="2805"/>
      <c r="E32" s="2808"/>
      <c r="F32" s="2794"/>
      <c r="G32" s="2820"/>
      <c r="H32" s="2792"/>
      <c r="I32" s="2792"/>
      <c r="J32" s="2826"/>
      <c r="K32" s="2822"/>
      <c r="L32" s="2792"/>
      <c r="M32" s="2792"/>
      <c r="N32" s="2823" t="s">
        <v>30</v>
      </c>
      <c r="O32" s="2773"/>
      <c r="P32" s="255"/>
      <c r="Q32" s="256"/>
      <c r="R32" s="256" t="s">
        <v>176</v>
      </c>
      <c r="S32" s="1771"/>
      <c r="T32" s="1771"/>
      <c r="U32" s="1771"/>
      <c r="V32" s="1771"/>
      <c r="W32" s="257"/>
      <c r="Y32" s="1186"/>
      <c r="Z32" s="1186"/>
      <c r="AA32" s="1186"/>
      <c r="AB32" s="1186"/>
      <c r="AC32" s="1186"/>
      <c r="AD32" s="1186"/>
      <c r="AE32" s="1186"/>
      <c r="AF32" s="1186"/>
      <c r="AG32" s="1186"/>
      <c r="AH32" s="1186"/>
      <c r="AI32" s="1186"/>
      <c r="AJ32" s="1186"/>
      <c r="AK32" s="1186"/>
      <c r="AL32" s="1778"/>
      <c r="AM32" s="1778"/>
      <c r="AN32" s="1778"/>
      <c r="AO32" s="1778"/>
      <c r="AP32" s="1778"/>
      <c r="AQ32" s="1778"/>
    </row>
    <row r="33" spans="1:43" ht="17.25" customHeight="1">
      <c r="A33" s="1765"/>
      <c r="B33" s="1778"/>
      <c r="C33" s="1770"/>
      <c r="D33" s="2805"/>
      <c r="E33" s="2808"/>
      <c r="F33" s="2794"/>
      <c r="G33" s="2820"/>
      <c r="H33" s="2792"/>
      <c r="I33" s="2792"/>
      <c r="J33" s="2826"/>
      <c r="K33" s="2773"/>
      <c r="L33" s="255"/>
      <c r="M33" s="256"/>
      <c r="N33" s="256" t="s">
        <v>178</v>
      </c>
      <c r="O33" s="256"/>
      <c r="P33" s="256"/>
      <c r="Q33" s="256"/>
      <c r="R33" s="256"/>
      <c r="S33" s="1771"/>
      <c r="T33" s="1771"/>
      <c r="U33" s="1771"/>
      <c r="V33" s="1771"/>
      <c r="W33" s="257"/>
      <c r="Y33" s="1186"/>
      <c r="Z33" s="1186"/>
      <c r="AA33" s="1186"/>
      <c r="AB33" s="1186"/>
      <c r="AC33" s="1186"/>
      <c r="AD33" s="1186"/>
      <c r="AE33" s="1186"/>
      <c r="AF33" s="1186"/>
      <c r="AG33" s="1186"/>
      <c r="AH33" s="1186"/>
      <c r="AI33" s="1186"/>
      <c r="AJ33" s="1186"/>
      <c r="AK33" s="1186"/>
      <c r="AL33" s="1778"/>
      <c r="AM33" s="1778"/>
      <c r="AN33" s="1778"/>
      <c r="AO33" s="1778"/>
      <c r="AP33" s="1778"/>
      <c r="AQ33" s="1778"/>
    </row>
    <row r="34" spans="1:43" ht="17.25" customHeight="1">
      <c r="A34" s="1765"/>
      <c r="B34" s="1778"/>
      <c r="C34" s="1767"/>
      <c r="D34" s="2805"/>
      <c r="E34" s="2808"/>
      <c r="F34" s="2794"/>
      <c r="G34" s="2820"/>
      <c r="H34" s="2827" t="s">
        <v>179</v>
      </c>
      <c r="I34" s="2827" t="s">
        <v>116</v>
      </c>
      <c r="J34" s="2825" t="s">
        <v>192</v>
      </c>
      <c r="K34" s="2821" t="s">
        <v>19</v>
      </c>
      <c r="L34" s="2769"/>
      <c r="M34" s="2769" t="s">
        <v>114</v>
      </c>
      <c r="N34" s="2824" t="s">
        <v>30</v>
      </c>
      <c r="O34" s="2821" t="s">
        <v>19</v>
      </c>
      <c r="P34" s="2769"/>
      <c r="Q34" s="2769" t="s">
        <v>114</v>
      </c>
      <c r="R34" s="2823" t="s">
        <v>30</v>
      </c>
      <c r="S34" s="2768" t="s">
        <v>19</v>
      </c>
      <c r="T34" s="1737"/>
      <c r="U34" s="1737" t="s">
        <v>114</v>
      </c>
      <c r="V34" s="2055" t="s">
        <v>30</v>
      </c>
      <c r="W34" s="1727"/>
      <c r="Y34" s="1194"/>
      <c r="Z34" s="1194"/>
      <c r="AA34" s="1194"/>
      <c r="AB34" s="1194"/>
      <c r="AC34" s="1896" t="s">
        <v>168</v>
      </c>
      <c r="AD34" s="1194" t="s">
        <v>193</v>
      </c>
      <c r="AE34" s="1194" t="s">
        <v>194</v>
      </c>
      <c r="AF34" s="1194" t="s">
        <v>195</v>
      </c>
      <c r="AG34" s="1194" t="s">
        <v>196</v>
      </c>
      <c r="AH34" s="1194" t="str">
        <f>IF($E$18=0,"",$E$18)</f>
        <v>Тарифы на тепловую энергию (мощность), поставляемую теплоснабжающими организациями потребителям, другим теплоснабжающим организациям</v>
      </c>
      <c r="AI34" s="1194" t="str">
        <f>IF($G$18=0,"",$G$18)</f>
        <v>Производство тепловой энергии. Некомбинированная выработка</v>
      </c>
      <c r="AJ34" s="1194" t="str">
        <f>IF($J$34=0,"",$J$34)</f>
        <v>Тарифы на тепловую энергию, поставляемую потребителям г. Тюмени от котельной, расположенной по адресу: г.Тюмень, ул. Февральский проезд, 2 (Котельная № 10)</v>
      </c>
      <c r="AK34" s="1194" t="str">
        <f>IF($K$34="нет","без дифференциации",IF($N$34=0,"",$N$34))</f>
        <v>без дифференциации</v>
      </c>
      <c r="AL34" s="1769" t="str">
        <f>IF($O$34="нет","без дифференциации",IF($R$34=0,"",$R$34))</f>
        <v>без дифференциации</v>
      </c>
      <c r="AM34" s="1769" t="str">
        <f>IF($S$34="нет","без дифференциации",IF($V$34=0,"",$V$34))</f>
        <v>без дифференциации</v>
      </c>
      <c r="AN34" s="1194" t="str">
        <f>$I$34</f>
        <v>5</v>
      </c>
      <c r="AO34" s="1194" t="str">
        <f>$I$34&amp;"."&amp;$M$34</f>
        <v>5.1</v>
      </c>
      <c r="AP34" s="1194" t="str">
        <f>$I$34&amp;"."&amp;$M$34&amp;"."&amp;$Q$34</f>
        <v>5.1.1</v>
      </c>
      <c r="AQ34" s="1194" t="str">
        <f>$I$34&amp;"."&amp;$M$34&amp;"."&amp;$Q$34&amp;"."&amp;$U$34</f>
        <v>5.1.1.1</v>
      </c>
    </row>
    <row r="35" spans="1:43" ht="17.25" customHeight="1">
      <c r="A35" s="1765"/>
      <c r="B35" s="1778"/>
      <c r="C35" s="1770"/>
      <c r="D35" s="2805"/>
      <c r="E35" s="2808"/>
      <c r="F35" s="2794"/>
      <c r="G35" s="2820"/>
      <c r="H35" s="2827"/>
      <c r="I35" s="2827"/>
      <c r="J35" s="2825"/>
      <c r="K35" s="2822"/>
      <c r="L35" s="2769"/>
      <c r="M35" s="2769"/>
      <c r="N35" s="2824" t="s">
        <v>30</v>
      </c>
      <c r="O35" s="2822"/>
      <c r="P35" s="2769"/>
      <c r="Q35" s="2769"/>
      <c r="R35" s="2823" t="s">
        <v>30</v>
      </c>
      <c r="S35" s="2768"/>
      <c r="T35" s="255"/>
      <c r="U35" s="256"/>
      <c r="V35" s="256" t="s">
        <v>174</v>
      </c>
      <c r="W35" s="257"/>
      <c r="Y35" s="1186"/>
      <c r="Z35" s="1186"/>
      <c r="AA35" s="1186"/>
      <c r="AB35" s="1186"/>
      <c r="AC35" s="1186"/>
      <c r="AD35" s="1186"/>
      <c r="AE35" s="1186"/>
      <c r="AF35" s="1186"/>
      <c r="AG35" s="1186"/>
      <c r="AH35" s="1186"/>
      <c r="AI35" s="1186"/>
      <c r="AJ35" s="1186"/>
      <c r="AK35" s="1186"/>
      <c r="AL35" s="1778"/>
      <c r="AM35" s="1778"/>
      <c r="AN35" s="1778"/>
      <c r="AO35" s="1778"/>
      <c r="AP35" s="1778"/>
      <c r="AQ35" s="1778"/>
    </row>
    <row r="36" spans="1:43" ht="17.25" customHeight="1">
      <c r="A36" s="1765"/>
      <c r="B36" s="1778"/>
      <c r="C36" s="1770"/>
      <c r="D36" s="2805"/>
      <c r="E36" s="2808"/>
      <c r="F36" s="2794"/>
      <c r="G36" s="2820"/>
      <c r="H36" s="2792"/>
      <c r="I36" s="2792"/>
      <c r="J36" s="2826"/>
      <c r="K36" s="2822"/>
      <c r="L36" s="2792"/>
      <c r="M36" s="2792"/>
      <c r="N36" s="2823" t="s">
        <v>30</v>
      </c>
      <c r="O36" s="2773"/>
      <c r="P36" s="255"/>
      <c r="Q36" s="256"/>
      <c r="R36" s="256" t="s">
        <v>176</v>
      </c>
      <c r="S36" s="1771"/>
      <c r="T36" s="1771"/>
      <c r="U36" s="1771"/>
      <c r="V36" s="1771"/>
      <c r="W36" s="257"/>
      <c r="Y36" s="1186"/>
      <c r="Z36" s="1186"/>
      <c r="AA36" s="1186"/>
      <c r="AB36" s="1186"/>
      <c r="AC36" s="1186"/>
      <c r="AD36" s="1186"/>
      <c r="AE36" s="1186"/>
      <c r="AF36" s="1186"/>
      <c r="AG36" s="1186"/>
      <c r="AH36" s="1186"/>
      <c r="AI36" s="1186"/>
      <c r="AJ36" s="1186"/>
      <c r="AK36" s="1186"/>
      <c r="AL36" s="1778"/>
      <c r="AM36" s="1778"/>
      <c r="AN36" s="1778"/>
      <c r="AO36" s="1778"/>
      <c r="AP36" s="1778"/>
      <c r="AQ36" s="1778"/>
    </row>
    <row r="37" spans="1:43" ht="17.25" customHeight="1">
      <c r="A37" s="1765"/>
      <c r="B37" s="1778"/>
      <c r="C37" s="1770"/>
      <c r="D37" s="2805"/>
      <c r="E37" s="2808"/>
      <c r="F37" s="2794"/>
      <c r="G37" s="2820"/>
      <c r="H37" s="2792"/>
      <c r="I37" s="2792"/>
      <c r="J37" s="2826"/>
      <c r="K37" s="2773"/>
      <c r="L37" s="255"/>
      <c r="M37" s="256"/>
      <c r="N37" s="256" t="s">
        <v>178</v>
      </c>
      <c r="O37" s="256"/>
      <c r="P37" s="256"/>
      <c r="Q37" s="256"/>
      <c r="R37" s="256"/>
      <c r="S37" s="1771"/>
      <c r="T37" s="1771"/>
      <c r="U37" s="1771"/>
      <c r="V37" s="1771"/>
      <c r="W37" s="257"/>
      <c r="Y37" s="1186"/>
      <c r="Z37" s="1186"/>
      <c r="AA37" s="1186"/>
      <c r="AB37" s="1186"/>
      <c r="AC37" s="1186"/>
      <c r="AD37" s="1186"/>
      <c r="AE37" s="1186"/>
      <c r="AF37" s="1186"/>
      <c r="AG37" s="1186"/>
      <c r="AH37" s="1186"/>
      <c r="AI37" s="1186"/>
      <c r="AJ37" s="1186"/>
      <c r="AK37" s="1186"/>
      <c r="AL37" s="1778"/>
      <c r="AM37" s="1778"/>
      <c r="AN37" s="1778"/>
      <c r="AO37" s="1778"/>
      <c r="AP37" s="1778"/>
      <c r="AQ37" s="1778"/>
    </row>
    <row r="38" spans="1:43" ht="17.25" customHeight="1">
      <c r="A38" s="1765"/>
      <c r="B38" s="1778"/>
      <c r="C38" s="1767"/>
      <c r="D38" s="2805"/>
      <c r="E38" s="2808"/>
      <c r="F38" s="2794"/>
      <c r="G38" s="2820"/>
      <c r="H38" s="2827" t="s">
        <v>179</v>
      </c>
      <c r="I38" s="2827" t="s">
        <v>97</v>
      </c>
      <c r="J38" s="2825" t="s">
        <v>197</v>
      </c>
      <c r="K38" s="2821" t="s">
        <v>19</v>
      </c>
      <c r="L38" s="2769"/>
      <c r="M38" s="2769" t="s">
        <v>114</v>
      </c>
      <c r="N38" s="2824" t="s">
        <v>30</v>
      </c>
      <c r="O38" s="2821" t="s">
        <v>19</v>
      </c>
      <c r="P38" s="2769"/>
      <c r="Q38" s="2769" t="s">
        <v>114</v>
      </c>
      <c r="R38" s="2823" t="s">
        <v>30</v>
      </c>
      <c r="S38" s="2768" t="s">
        <v>19</v>
      </c>
      <c r="T38" s="1737"/>
      <c r="U38" s="1737" t="s">
        <v>114</v>
      </c>
      <c r="V38" s="2055" t="s">
        <v>30</v>
      </c>
      <c r="W38" s="1727"/>
      <c r="Y38" s="1194"/>
      <c r="Z38" s="1194"/>
      <c r="AA38" s="1194"/>
      <c r="AB38" s="1194"/>
      <c r="AC38" s="1896" t="s">
        <v>168</v>
      </c>
      <c r="AD38" s="1194" t="s">
        <v>198</v>
      </c>
      <c r="AE38" s="1194" t="s">
        <v>199</v>
      </c>
      <c r="AF38" s="1194" t="s">
        <v>200</v>
      </c>
      <c r="AG38" s="1194" t="s">
        <v>201</v>
      </c>
      <c r="AH38" s="1194" t="str">
        <f>IF($E$18=0,"",$E$18)</f>
        <v>Тарифы на тепловую энергию (мощность), поставляемую теплоснабжающими организациями потребителям, другим теплоснабжающим организациям</v>
      </c>
      <c r="AI38" s="1194" t="str">
        <f>IF($G$18=0,"",$G$18)</f>
        <v>Производство тепловой энергии. Некомбинированная выработка</v>
      </c>
      <c r="AJ38" s="1194" t="str">
        <f>IF($J$38=0,"",$J$38)</f>
        <v>Тарифы на тепловую энергию, поставляемую потребителям г. Тюмени от котельных, расположенных по адресам: г.Тюмень, ул. Газодобытчиков  (Котельная № 11) и ул. Академика Сахарова, 48, строение 1 (Котельная № 12)</v>
      </c>
      <c r="AK38" s="1194" t="str">
        <f>IF($K$38="нет","без дифференциации",IF($N$38=0,"",$N$38))</f>
        <v>без дифференциации</v>
      </c>
      <c r="AL38" s="1769" t="str">
        <f>IF($O$38="нет","без дифференциации",IF($R$38=0,"",$R$38))</f>
        <v>без дифференциации</v>
      </c>
      <c r="AM38" s="1769" t="str">
        <f>IF($S$38="нет","без дифференциации",IF($V$38=0,"",$V$38))</f>
        <v>без дифференциации</v>
      </c>
      <c r="AN38" s="1194" t="str">
        <f>$I$38</f>
        <v>6</v>
      </c>
      <c r="AO38" s="1194" t="str">
        <f>$I$38&amp;"."&amp;$M$38</f>
        <v>6.1</v>
      </c>
      <c r="AP38" s="1194" t="str">
        <f>$I$38&amp;"."&amp;$M$38&amp;"."&amp;$Q$38</f>
        <v>6.1.1</v>
      </c>
      <c r="AQ38" s="1194" t="str">
        <f>$I$38&amp;"."&amp;$M$38&amp;"."&amp;$Q$38&amp;"."&amp;$U$38</f>
        <v>6.1.1.1</v>
      </c>
    </row>
    <row r="39" spans="1:43" ht="17.25" customHeight="1">
      <c r="A39" s="1765"/>
      <c r="B39" s="1778"/>
      <c r="C39" s="1770"/>
      <c r="D39" s="2805"/>
      <c r="E39" s="2808"/>
      <c r="F39" s="2794"/>
      <c r="G39" s="2820"/>
      <c r="H39" s="2827"/>
      <c r="I39" s="2827"/>
      <c r="J39" s="2825"/>
      <c r="K39" s="2822"/>
      <c r="L39" s="2769"/>
      <c r="M39" s="2769"/>
      <c r="N39" s="2824" t="s">
        <v>30</v>
      </c>
      <c r="O39" s="2822"/>
      <c r="P39" s="2769"/>
      <c r="Q39" s="2769"/>
      <c r="R39" s="2823" t="s">
        <v>30</v>
      </c>
      <c r="S39" s="2768"/>
      <c r="T39" s="255"/>
      <c r="U39" s="256"/>
      <c r="V39" s="256" t="s">
        <v>174</v>
      </c>
      <c r="W39" s="257"/>
      <c r="Y39" s="1186"/>
      <c r="Z39" s="1186"/>
      <c r="AA39" s="1186"/>
      <c r="AB39" s="1186"/>
      <c r="AC39" s="1186"/>
      <c r="AD39" s="1186"/>
      <c r="AE39" s="1186"/>
      <c r="AF39" s="1186"/>
      <c r="AG39" s="1186"/>
      <c r="AH39" s="1186"/>
      <c r="AI39" s="1186"/>
      <c r="AJ39" s="1186"/>
      <c r="AK39" s="1186"/>
      <c r="AL39" s="1778"/>
      <c r="AM39" s="1778"/>
      <c r="AN39" s="1778"/>
      <c r="AO39" s="1778"/>
      <c r="AP39" s="1778"/>
      <c r="AQ39" s="1778"/>
    </row>
    <row r="40" spans="1:43" ht="17.25" customHeight="1">
      <c r="A40" s="1765"/>
      <c r="B40" s="1778"/>
      <c r="C40" s="1770"/>
      <c r="D40" s="2805"/>
      <c r="E40" s="2808"/>
      <c r="F40" s="2794"/>
      <c r="G40" s="2820"/>
      <c r="H40" s="2792"/>
      <c r="I40" s="2792"/>
      <c r="J40" s="2826"/>
      <c r="K40" s="2822"/>
      <c r="L40" s="2792"/>
      <c r="M40" s="2792"/>
      <c r="N40" s="2823" t="s">
        <v>30</v>
      </c>
      <c r="O40" s="2773"/>
      <c r="P40" s="255"/>
      <c r="Q40" s="256"/>
      <c r="R40" s="256" t="s">
        <v>176</v>
      </c>
      <c r="S40" s="1771"/>
      <c r="T40" s="1771"/>
      <c r="U40" s="1771"/>
      <c r="V40" s="1771"/>
      <c r="W40" s="257"/>
      <c r="Y40" s="1186"/>
      <c r="Z40" s="1186"/>
      <c r="AA40" s="1186"/>
      <c r="AB40" s="1186"/>
      <c r="AC40" s="1186"/>
      <c r="AD40" s="1186"/>
      <c r="AE40" s="1186"/>
      <c r="AF40" s="1186"/>
      <c r="AG40" s="1186"/>
      <c r="AH40" s="1186"/>
      <c r="AI40" s="1186"/>
      <c r="AJ40" s="1186"/>
      <c r="AK40" s="1186"/>
      <c r="AL40" s="1778"/>
      <c r="AM40" s="1778"/>
      <c r="AN40" s="1778"/>
      <c r="AO40" s="1778"/>
      <c r="AP40" s="1778"/>
      <c r="AQ40" s="1778"/>
    </row>
    <row r="41" spans="1:43" ht="17.25" customHeight="1">
      <c r="A41" s="1765"/>
      <c r="B41" s="1778"/>
      <c r="C41" s="1770"/>
      <c r="D41" s="2805"/>
      <c r="E41" s="2808"/>
      <c r="F41" s="2794"/>
      <c r="G41" s="2820"/>
      <c r="H41" s="2792"/>
      <c r="I41" s="2792"/>
      <c r="J41" s="2826"/>
      <c r="K41" s="2773"/>
      <c r="L41" s="255"/>
      <c r="M41" s="256"/>
      <c r="N41" s="256" t="s">
        <v>178</v>
      </c>
      <c r="O41" s="256"/>
      <c r="P41" s="256"/>
      <c r="Q41" s="256"/>
      <c r="R41" s="256"/>
      <c r="S41" s="1771"/>
      <c r="T41" s="1771"/>
      <c r="U41" s="1771"/>
      <c r="V41" s="1771"/>
      <c r="W41" s="257"/>
      <c r="Y41" s="1186"/>
      <c r="Z41" s="1186"/>
      <c r="AA41" s="1186"/>
      <c r="AB41" s="1186"/>
      <c r="AC41" s="1186"/>
      <c r="AD41" s="1186"/>
      <c r="AE41" s="1186"/>
      <c r="AF41" s="1186"/>
      <c r="AG41" s="1186"/>
      <c r="AH41" s="1186"/>
      <c r="AI41" s="1186"/>
      <c r="AJ41" s="1186"/>
      <c r="AK41" s="1186"/>
      <c r="AL41" s="1778"/>
      <c r="AM41" s="1778"/>
      <c r="AN41" s="1778"/>
      <c r="AO41" s="1778"/>
      <c r="AP41" s="1778"/>
      <c r="AQ41" s="1778"/>
    </row>
    <row r="42" spans="1:43" ht="17.25" customHeight="1">
      <c r="A42" s="1765"/>
      <c r="B42" s="1778"/>
      <c r="C42" s="1767"/>
      <c r="D42" s="2805"/>
      <c r="E42" s="2808"/>
      <c r="F42" s="2794"/>
      <c r="G42" s="2820"/>
      <c r="H42" s="2827" t="s">
        <v>179</v>
      </c>
      <c r="I42" s="2827" t="s">
        <v>98</v>
      </c>
      <c r="J42" s="2825" t="s">
        <v>202</v>
      </c>
      <c r="K42" s="2821" t="s">
        <v>19</v>
      </c>
      <c r="L42" s="2769"/>
      <c r="M42" s="2769" t="s">
        <v>114</v>
      </c>
      <c r="N42" s="2824" t="s">
        <v>30</v>
      </c>
      <c r="O42" s="2821" t="s">
        <v>19</v>
      </c>
      <c r="P42" s="2769"/>
      <c r="Q42" s="2769" t="s">
        <v>114</v>
      </c>
      <c r="R42" s="2823" t="s">
        <v>30</v>
      </c>
      <c r="S42" s="2768" t="s">
        <v>19</v>
      </c>
      <c r="T42" s="1737"/>
      <c r="U42" s="1737" t="s">
        <v>114</v>
      </c>
      <c r="V42" s="2055" t="s">
        <v>30</v>
      </c>
      <c r="W42" s="1727"/>
      <c r="Y42" s="1194"/>
      <c r="Z42" s="1194"/>
      <c r="AA42" s="1194"/>
      <c r="AB42" s="1194"/>
      <c r="AC42" s="1896" t="s">
        <v>168</v>
      </c>
      <c r="AD42" s="1194" t="s">
        <v>203</v>
      </c>
      <c r="AE42" s="1194" t="s">
        <v>204</v>
      </c>
      <c r="AF42" s="1194" t="s">
        <v>205</v>
      </c>
      <c r="AG42" s="1194" t="s">
        <v>206</v>
      </c>
      <c r="AH42" s="1194" t="str">
        <f>IF($E$18=0,"",$E$18)</f>
        <v>Тарифы на тепловую энергию (мощность), поставляемую теплоснабжающими организациями потребителям, другим теплоснабжающим организациям</v>
      </c>
      <c r="AI42" s="1194" t="str">
        <f>IF($G$18=0,"",$G$18)</f>
        <v>Производство тепловой энергии. Некомбинированная выработка</v>
      </c>
      <c r="AJ42" s="1194" t="str">
        <f>IF($J$42=0,"",$J$42)</f>
        <v>Тарифы на тепловую энергию, поставляемую потребителям г. Тюмени от котельной, расположенной по адресу: г.Тюмень, ул. Сказочная, 26, строение 2 (Котельная № 14)</v>
      </c>
      <c r="AK42" s="1194" t="str">
        <f>IF($K$42="нет","без дифференциации",IF($N$42=0,"",$N$42))</f>
        <v>без дифференциации</v>
      </c>
      <c r="AL42" s="1769" t="str">
        <f>IF($O$42="нет","без дифференциации",IF($R$42=0,"",$R$42))</f>
        <v>без дифференциации</v>
      </c>
      <c r="AM42" s="1769" t="str">
        <f>IF($S$42="нет","без дифференциации",IF($V$42=0,"",$V$42))</f>
        <v>без дифференциации</v>
      </c>
      <c r="AN42" s="1194" t="str">
        <f>$I$42</f>
        <v>7</v>
      </c>
      <c r="AO42" s="1194" t="str">
        <f>$I$42&amp;"."&amp;$M$42</f>
        <v>7.1</v>
      </c>
      <c r="AP42" s="1194" t="str">
        <f>$I$42&amp;"."&amp;$M$42&amp;"."&amp;$Q$42</f>
        <v>7.1.1</v>
      </c>
      <c r="AQ42" s="1194" t="str">
        <f>$I$42&amp;"."&amp;$M$42&amp;"."&amp;$Q$42&amp;"."&amp;$U$42</f>
        <v>7.1.1.1</v>
      </c>
    </row>
    <row r="43" spans="1:43" ht="17.25" customHeight="1">
      <c r="A43" s="1765"/>
      <c r="B43" s="1778"/>
      <c r="C43" s="1770"/>
      <c r="D43" s="2805"/>
      <c r="E43" s="2808"/>
      <c r="F43" s="2794"/>
      <c r="G43" s="2820"/>
      <c r="H43" s="2827"/>
      <c r="I43" s="2827"/>
      <c r="J43" s="2825"/>
      <c r="K43" s="2822"/>
      <c r="L43" s="2769"/>
      <c r="M43" s="2769"/>
      <c r="N43" s="2824" t="s">
        <v>30</v>
      </c>
      <c r="O43" s="2822"/>
      <c r="P43" s="2769"/>
      <c r="Q43" s="2769"/>
      <c r="R43" s="2823" t="s">
        <v>30</v>
      </c>
      <c r="S43" s="2768"/>
      <c r="T43" s="255"/>
      <c r="U43" s="256"/>
      <c r="V43" s="256" t="s">
        <v>174</v>
      </c>
      <c r="W43" s="257"/>
      <c r="Y43" s="1186"/>
      <c r="Z43" s="1186"/>
      <c r="AA43" s="1186"/>
      <c r="AB43" s="1186"/>
      <c r="AC43" s="1186"/>
      <c r="AD43" s="1186"/>
      <c r="AE43" s="1186"/>
      <c r="AF43" s="1186"/>
      <c r="AG43" s="1186"/>
      <c r="AH43" s="1186"/>
      <c r="AI43" s="1186"/>
      <c r="AJ43" s="1186"/>
      <c r="AK43" s="1186"/>
      <c r="AL43" s="1778"/>
      <c r="AM43" s="1778"/>
      <c r="AN43" s="1778"/>
      <c r="AO43" s="1778"/>
      <c r="AP43" s="1778"/>
      <c r="AQ43" s="1778"/>
    </row>
    <row r="44" spans="1:43" ht="17.25" customHeight="1">
      <c r="A44" s="1765"/>
      <c r="B44" s="1778"/>
      <c r="C44" s="1770"/>
      <c r="D44" s="2805"/>
      <c r="E44" s="2808"/>
      <c r="F44" s="2794"/>
      <c r="G44" s="2820"/>
      <c r="H44" s="2792"/>
      <c r="I44" s="2792"/>
      <c r="J44" s="2826"/>
      <c r="K44" s="2822"/>
      <c r="L44" s="2792"/>
      <c r="M44" s="2792"/>
      <c r="N44" s="2823" t="s">
        <v>30</v>
      </c>
      <c r="O44" s="2773"/>
      <c r="P44" s="255"/>
      <c r="Q44" s="256"/>
      <c r="R44" s="256" t="s">
        <v>176</v>
      </c>
      <c r="S44" s="1771"/>
      <c r="T44" s="1771"/>
      <c r="U44" s="1771"/>
      <c r="V44" s="1771"/>
      <c r="W44" s="257"/>
      <c r="Y44" s="1186"/>
      <c r="Z44" s="1186"/>
      <c r="AA44" s="1186"/>
      <c r="AB44" s="1186"/>
      <c r="AC44" s="1186"/>
      <c r="AD44" s="1186"/>
      <c r="AE44" s="1186"/>
      <c r="AF44" s="1186"/>
      <c r="AG44" s="1186"/>
      <c r="AH44" s="1186"/>
      <c r="AI44" s="1186"/>
      <c r="AJ44" s="1186"/>
      <c r="AK44" s="1186"/>
      <c r="AL44" s="1778"/>
      <c r="AM44" s="1778"/>
      <c r="AN44" s="1778"/>
      <c r="AO44" s="1778"/>
      <c r="AP44" s="1778"/>
      <c r="AQ44" s="1778"/>
    </row>
    <row r="45" spans="1:43" ht="17.25" customHeight="1">
      <c r="A45" s="1765"/>
      <c r="B45" s="1778"/>
      <c r="C45" s="1770"/>
      <c r="D45" s="2805"/>
      <c r="E45" s="2808"/>
      <c r="F45" s="2794"/>
      <c r="G45" s="2820"/>
      <c r="H45" s="2792"/>
      <c r="I45" s="2792"/>
      <c r="J45" s="2826"/>
      <c r="K45" s="2773"/>
      <c r="L45" s="255"/>
      <c r="M45" s="256"/>
      <c r="N45" s="256" t="s">
        <v>178</v>
      </c>
      <c r="O45" s="256"/>
      <c r="P45" s="256"/>
      <c r="Q45" s="256"/>
      <c r="R45" s="256"/>
      <c r="S45" s="1771"/>
      <c r="T45" s="1771"/>
      <c r="U45" s="1771"/>
      <c r="V45" s="1771"/>
      <c r="W45" s="257"/>
      <c r="Y45" s="1186"/>
      <c r="Z45" s="1186"/>
      <c r="AA45" s="1186"/>
      <c r="AB45" s="1186"/>
      <c r="AC45" s="1186"/>
      <c r="AD45" s="1186"/>
      <c r="AE45" s="1186"/>
      <c r="AF45" s="1186"/>
      <c r="AG45" s="1186"/>
      <c r="AH45" s="1186"/>
      <c r="AI45" s="1186"/>
      <c r="AJ45" s="1186"/>
      <c r="AK45" s="1186"/>
      <c r="AL45" s="1778"/>
      <c r="AM45" s="1778"/>
      <c r="AN45" s="1778"/>
      <c r="AO45" s="1778"/>
      <c r="AP45" s="1778"/>
      <c r="AQ45" s="1778"/>
    </row>
    <row r="46" spans="1:43" ht="17.25" customHeight="1">
      <c r="A46" s="1765"/>
      <c r="B46" s="1778"/>
      <c r="C46" s="1767"/>
      <c r="D46" s="2805"/>
      <c r="E46" s="2808"/>
      <c r="F46" s="2794"/>
      <c r="G46" s="2820"/>
      <c r="H46" s="2827" t="s">
        <v>179</v>
      </c>
      <c r="I46" s="2827" t="s">
        <v>117</v>
      </c>
      <c r="J46" s="2825" t="s">
        <v>207</v>
      </c>
      <c r="K46" s="2821" t="s">
        <v>19</v>
      </c>
      <c r="L46" s="2769"/>
      <c r="M46" s="2769" t="s">
        <v>114</v>
      </c>
      <c r="N46" s="2824" t="s">
        <v>30</v>
      </c>
      <c r="O46" s="2821" t="s">
        <v>19</v>
      </c>
      <c r="P46" s="2769"/>
      <c r="Q46" s="2769" t="s">
        <v>114</v>
      </c>
      <c r="R46" s="2823" t="s">
        <v>30</v>
      </c>
      <c r="S46" s="2768" t="s">
        <v>19</v>
      </c>
      <c r="T46" s="1737"/>
      <c r="U46" s="1737" t="s">
        <v>114</v>
      </c>
      <c r="V46" s="2055" t="s">
        <v>30</v>
      </c>
      <c r="W46" s="1727"/>
      <c r="Y46" s="1194"/>
      <c r="Z46" s="1194"/>
      <c r="AA46" s="1194"/>
      <c r="AB46" s="1194"/>
      <c r="AC46" s="1896" t="s">
        <v>168</v>
      </c>
      <c r="AD46" s="1194" t="s">
        <v>208</v>
      </c>
      <c r="AE46" s="1194" t="s">
        <v>209</v>
      </c>
      <c r="AF46" s="1194" t="s">
        <v>210</v>
      </c>
      <c r="AG46" s="1194" t="s">
        <v>211</v>
      </c>
      <c r="AH46" s="1194" t="str">
        <f>IF($E$18=0,"",$E$18)</f>
        <v>Тарифы на тепловую энергию (мощность), поставляемую теплоснабжающими организациями потребителям, другим теплоснабжающим организациям</v>
      </c>
      <c r="AI46" s="1194" t="str">
        <f>IF($G$18=0,"",$G$18)</f>
        <v>Производство тепловой энергии. Некомбинированная выработка</v>
      </c>
      <c r="AJ46" s="1194" t="str">
        <f>IF($J$46=0,"",$J$46)</f>
        <v>Тарифы на тепловую энергию, поставляемую потребителям г. Тюмени от котельной, расположенной по адресу: г.Тюмень, 10 км Салаирского тракта, 10, строение 3 (Котельная № 16)</v>
      </c>
      <c r="AK46" s="1194" t="str">
        <f>IF($K$46="нет","без дифференциации",IF($N$46=0,"",$N$46))</f>
        <v>без дифференциации</v>
      </c>
      <c r="AL46" s="1769" t="str">
        <f>IF($O$46="нет","без дифференциации",IF($R$46=0,"",$R$46))</f>
        <v>без дифференциации</v>
      </c>
      <c r="AM46" s="1769" t="str">
        <f>IF($S$46="нет","без дифференциации",IF($V$46=0,"",$V$46))</f>
        <v>без дифференциации</v>
      </c>
      <c r="AN46" s="1194" t="str">
        <f>$I$46</f>
        <v>8</v>
      </c>
      <c r="AO46" s="1194" t="str">
        <f>$I$46&amp;"."&amp;$M$46</f>
        <v>8.1</v>
      </c>
      <c r="AP46" s="1194" t="str">
        <f>$I$46&amp;"."&amp;$M$46&amp;"."&amp;$Q$46</f>
        <v>8.1.1</v>
      </c>
      <c r="AQ46" s="1194" t="str">
        <f>$I$46&amp;"."&amp;$M$46&amp;"."&amp;$Q$46&amp;"."&amp;$U$46</f>
        <v>8.1.1.1</v>
      </c>
    </row>
    <row r="47" spans="1:43" ht="17.25" customHeight="1">
      <c r="A47" s="1765"/>
      <c r="B47" s="1778"/>
      <c r="C47" s="1770"/>
      <c r="D47" s="2805"/>
      <c r="E47" s="2808"/>
      <c r="F47" s="2794"/>
      <c r="G47" s="2820"/>
      <c r="H47" s="2827"/>
      <c r="I47" s="2827"/>
      <c r="J47" s="2825"/>
      <c r="K47" s="2822"/>
      <c r="L47" s="2769"/>
      <c r="M47" s="2769"/>
      <c r="N47" s="2824" t="s">
        <v>30</v>
      </c>
      <c r="O47" s="2822"/>
      <c r="P47" s="2769"/>
      <c r="Q47" s="2769"/>
      <c r="R47" s="2823" t="s">
        <v>30</v>
      </c>
      <c r="S47" s="2768"/>
      <c r="T47" s="255"/>
      <c r="U47" s="256"/>
      <c r="V47" s="256" t="s">
        <v>174</v>
      </c>
      <c r="W47" s="257"/>
      <c r="Y47" s="1186"/>
      <c r="Z47" s="1186"/>
      <c r="AA47" s="1186"/>
      <c r="AB47" s="1186"/>
      <c r="AC47" s="1186"/>
      <c r="AD47" s="1186"/>
      <c r="AE47" s="1186"/>
      <c r="AF47" s="1186"/>
      <c r="AG47" s="1186"/>
      <c r="AH47" s="1186"/>
      <c r="AI47" s="1186"/>
      <c r="AJ47" s="1186"/>
      <c r="AK47" s="1186"/>
      <c r="AL47" s="1778"/>
      <c r="AM47" s="1778"/>
      <c r="AN47" s="1778"/>
      <c r="AO47" s="1778"/>
      <c r="AP47" s="1778"/>
      <c r="AQ47" s="1778"/>
    </row>
    <row r="48" spans="1:43" ht="17.25" customHeight="1">
      <c r="A48" s="1765"/>
      <c r="B48" s="1778"/>
      <c r="C48" s="1770"/>
      <c r="D48" s="2805"/>
      <c r="E48" s="2808"/>
      <c r="F48" s="2794"/>
      <c r="G48" s="2820"/>
      <c r="H48" s="2792"/>
      <c r="I48" s="2792"/>
      <c r="J48" s="2826"/>
      <c r="K48" s="2822"/>
      <c r="L48" s="2792"/>
      <c r="M48" s="2792"/>
      <c r="N48" s="2823" t="s">
        <v>30</v>
      </c>
      <c r="O48" s="2773"/>
      <c r="P48" s="255"/>
      <c r="Q48" s="256"/>
      <c r="R48" s="256" t="s">
        <v>176</v>
      </c>
      <c r="S48" s="1771"/>
      <c r="T48" s="1771"/>
      <c r="U48" s="1771"/>
      <c r="V48" s="1771"/>
      <c r="W48" s="257"/>
      <c r="Y48" s="1186"/>
      <c r="Z48" s="1186"/>
      <c r="AA48" s="1186"/>
      <c r="AB48" s="1186"/>
      <c r="AC48" s="1186"/>
      <c r="AD48" s="1186"/>
      <c r="AE48" s="1186"/>
      <c r="AF48" s="1186"/>
      <c r="AG48" s="1186"/>
      <c r="AH48" s="1186"/>
      <c r="AI48" s="1186"/>
      <c r="AJ48" s="1186"/>
      <c r="AK48" s="1186"/>
      <c r="AL48" s="1778"/>
      <c r="AM48" s="1778"/>
      <c r="AN48" s="1778"/>
      <c r="AO48" s="1778"/>
      <c r="AP48" s="1778"/>
      <c r="AQ48" s="1778"/>
    </row>
    <row r="49" spans="1:44" ht="17.25" customHeight="1">
      <c r="A49" s="1765"/>
      <c r="B49" s="1778"/>
      <c r="C49" s="1770"/>
      <c r="D49" s="2805"/>
      <c r="E49" s="2808"/>
      <c r="F49" s="2794"/>
      <c r="G49" s="2820"/>
      <c r="H49" s="2792"/>
      <c r="I49" s="2792"/>
      <c r="J49" s="2826"/>
      <c r="K49" s="2773"/>
      <c r="L49" s="255"/>
      <c r="M49" s="256"/>
      <c r="N49" s="256" t="s">
        <v>178</v>
      </c>
      <c r="O49" s="256"/>
      <c r="P49" s="256"/>
      <c r="Q49" s="256"/>
      <c r="R49" s="256"/>
      <c r="S49" s="1771"/>
      <c r="T49" s="1771"/>
      <c r="U49" s="1771"/>
      <c r="V49" s="1771"/>
      <c r="W49" s="257"/>
      <c r="Y49" s="1186"/>
      <c r="Z49" s="1186"/>
      <c r="AA49" s="1186"/>
      <c r="AB49" s="1186"/>
      <c r="AC49" s="1186"/>
      <c r="AD49" s="1186"/>
      <c r="AE49" s="1186"/>
      <c r="AF49" s="1186"/>
      <c r="AG49" s="1186"/>
      <c r="AH49" s="1186"/>
      <c r="AI49" s="1186"/>
      <c r="AJ49" s="1186"/>
      <c r="AK49" s="1186"/>
      <c r="AL49" s="1778"/>
      <c r="AM49" s="1778"/>
      <c r="AN49" s="1778"/>
      <c r="AO49" s="1778"/>
      <c r="AP49" s="1778"/>
      <c r="AQ49" s="1778"/>
    </row>
    <row r="50" spans="1:44" s="1778" customFormat="1" ht="17.25" customHeight="1">
      <c r="A50" s="259"/>
      <c r="C50" s="258"/>
      <c r="D50" s="2792"/>
      <c r="E50" s="2807"/>
      <c r="F50" s="2795"/>
      <c r="G50" s="2819"/>
      <c r="H50" s="2056"/>
      <c r="I50" s="2057"/>
      <c r="J50" s="2058" t="s">
        <v>212</v>
      </c>
      <c r="K50" s="2059"/>
      <c r="L50" s="2060"/>
      <c r="M50" s="2061"/>
      <c r="N50" s="2062"/>
      <c r="O50" s="2063"/>
      <c r="P50" s="2064"/>
      <c r="Q50" s="2065"/>
      <c r="R50" s="2066"/>
      <c r="S50" s="2067"/>
      <c r="T50" s="2068"/>
      <c r="U50" s="2069"/>
      <c r="V50" s="2070"/>
      <c r="W50" s="2071"/>
      <c r="X50" s="1186"/>
      <c r="Y50" s="1186"/>
      <c r="Z50" s="1186"/>
      <c r="AA50" s="1186"/>
      <c r="AB50" s="1186"/>
      <c r="AC50" s="1186"/>
      <c r="AD50" s="1186"/>
      <c r="AE50" s="1186"/>
      <c r="AF50" s="1186"/>
      <c r="AG50" s="1186"/>
      <c r="AH50" s="1186"/>
      <c r="AI50" s="1186"/>
      <c r="AJ50" s="1186"/>
      <c r="AK50" s="1186"/>
      <c r="AL50" s="1186"/>
      <c r="AM50" s="1186"/>
      <c r="AN50" s="1186"/>
      <c r="AO50" s="1186"/>
      <c r="AP50" s="1186"/>
      <c r="AQ50" s="1186"/>
      <c r="AR50" s="1210">
        <v>0</v>
      </c>
    </row>
    <row r="51" spans="1:44" s="1778" customFormat="1" ht="17.25" hidden="1" customHeight="1">
      <c r="A51" s="259"/>
      <c r="C51" s="147"/>
      <c r="D51" s="2791">
        <v>2</v>
      </c>
      <c r="E51" s="2780" t="s">
        <v>165</v>
      </c>
      <c r="F51" s="2793" t="s">
        <v>19</v>
      </c>
      <c r="G51" s="2780"/>
      <c r="H51" s="2782"/>
      <c r="I51" s="2784"/>
      <c r="J51" s="2786"/>
      <c r="K51" s="2778"/>
      <c r="L51" s="2778"/>
      <c r="M51" s="2778"/>
      <c r="N51" s="2789"/>
      <c r="O51" s="2778"/>
      <c r="P51" s="2778"/>
      <c r="Q51" s="2778"/>
      <c r="R51" s="2776"/>
      <c r="S51" s="2778"/>
      <c r="T51" s="1920"/>
      <c r="U51" s="1920"/>
      <c r="V51" s="1922"/>
      <c r="W51" s="1223"/>
      <c r="X51" s="1194"/>
      <c r="Y51" s="1194"/>
      <c r="Z51" s="1194" t="s">
        <v>30</v>
      </c>
      <c r="AA51" s="1194" t="s">
        <v>30</v>
      </c>
      <c r="AB51" s="1194" t="s">
        <v>30</v>
      </c>
      <c r="AC51" s="1194" t="s">
        <v>30</v>
      </c>
      <c r="AD51" s="1194" t="s">
        <v>30</v>
      </c>
      <c r="AE51" s="1194" t="s">
        <v>30</v>
      </c>
      <c r="AF51" s="1194" t="s">
        <v>30</v>
      </c>
      <c r="AG51" s="1194" t="s">
        <v>30</v>
      </c>
      <c r="AH51" s="1194" t="s">
        <v>30</v>
      </c>
      <c r="AI51" s="1194" t="s">
        <v>30</v>
      </c>
      <c r="AJ51" s="1194" t="s">
        <v>30</v>
      </c>
      <c r="AK51" s="1194" t="s">
        <v>30</v>
      </c>
      <c r="AL51" s="1194" t="s">
        <v>30</v>
      </c>
      <c r="AM51" s="1194" t="s">
        <v>30</v>
      </c>
      <c r="AN51" s="1698" t="s">
        <v>30</v>
      </c>
      <c r="AO51" s="1194" t="s">
        <v>30</v>
      </c>
      <c r="AP51" s="1193" t="s">
        <v>30</v>
      </c>
      <c r="AQ51" s="1193" t="s">
        <v>30</v>
      </c>
      <c r="AR51" s="1394">
        <v>0</v>
      </c>
    </row>
    <row r="52" spans="1:44" s="1778" customFormat="1" ht="17.25" hidden="1" customHeight="1">
      <c r="A52" s="259"/>
      <c r="C52" s="258"/>
      <c r="D52" s="2791"/>
      <c r="E52" s="2780"/>
      <c r="F52" s="2794"/>
      <c r="G52" s="2780"/>
      <c r="H52" s="2783"/>
      <c r="I52" s="2785"/>
      <c r="J52" s="2787"/>
      <c r="K52" s="2779"/>
      <c r="L52" s="2779"/>
      <c r="M52" s="2779"/>
      <c r="N52" s="2790"/>
      <c r="O52" s="2779"/>
      <c r="P52" s="2779"/>
      <c r="Q52" s="2779"/>
      <c r="R52" s="2777"/>
      <c r="S52" s="2779"/>
      <c r="T52" s="1925"/>
      <c r="U52" s="1925"/>
      <c r="V52" s="1925"/>
      <c r="W52" s="1926"/>
      <c r="X52" s="1193"/>
      <c r="Y52" s="1193"/>
      <c r="Z52" s="1193"/>
      <c r="AA52" s="1193"/>
      <c r="AB52" s="1193"/>
      <c r="AC52" s="1193"/>
      <c r="AD52" s="1193"/>
      <c r="AE52" s="1193"/>
      <c r="AF52" s="1193"/>
      <c r="AG52" s="1193"/>
      <c r="AH52" s="1193"/>
      <c r="AI52" s="1193"/>
      <c r="AJ52" s="1193"/>
      <c r="AK52" s="1193"/>
      <c r="AL52" s="1193"/>
      <c r="AM52" s="1193"/>
      <c r="AN52" s="1193"/>
      <c r="AO52" s="1193"/>
      <c r="AP52" s="1193"/>
      <c r="AQ52" s="1193"/>
      <c r="AR52" s="1394">
        <v>0</v>
      </c>
    </row>
    <row r="53" spans="1:44" s="1778" customFormat="1" ht="17.25" hidden="1" customHeight="1">
      <c r="A53" s="259"/>
      <c r="C53" s="258"/>
      <c r="D53" s="2792"/>
      <c r="E53" s="2781"/>
      <c r="F53" s="2794"/>
      <c r="G53" s="2781"/>
      <c r="H53" s="2783"/>
      <c r="I53" s="2785"/>
      <c r="J53" s="2788"/>
      <c r="K53" s="2779"/>
      <c r="L53" s="2779"/>
      <c r="M53" s="2779"/>
      <c r="N53" s="2777"/>
      <c r="O53" s="2779"/>
      <c r="P53" s="1921"/>
      <c r="Q53" s="1925"/>
      <c r="R53" s="1925"/>
      <c r="S53" s="267"/>
      <c r="T53" s="267"/>
      <c r="U53" s="267"/>
      <c r="V53" s="267"/>
      <c r="W53" s="1926"/>
      <c r="X53" s="1193"/>
      <c r="Y53" s="1193"/>
      <c r="Z53" s="1193"/>
      <c r="AA53" s="1193"/>
      <c r="AB53" s="1193"/>
      <c r="AC53" s="1193"/>
      <c r="AD53" s="1193"/>
      <c r="AE53" s="1193"/>
      <c r="AF53" s="1193"/>
      <c r="AG53" s="1193"/>
      <c r="AH53" s="1193"/>
      <c r="AI53" s="1193"/>
      <c r="AJ53" s="1193"/>
      <c r="AK53" s="1193"/>
      <c r="AL53" s="1193"/>
      <c r="AM53" s="1193"/>
      <c r="AN53" s="1193"/>
      <c r="AO53" s="1193"/>
      <c r="AP53" s="1193"/>
      <c r="AQ53" s="1193"/>
      <c r="AR53" s="1394">
        <v>0</v>
      </c>
    </row>
    <row r="54" spans="1:44" s="1778" customFormat="1" ht="17.25" hidden="1" customHeight="1">
      <c r="A54" s="259"/>
      <c r="C54" s="258"/>
      <c r="D54" s="2792"/>
      <c r="E54" s="2781"/>
      <c r="F54" s="2794"/>
      <c r="G54" s="2781"/>
      <c r="H54" s="2783"/>
      <c r="I54" s="2785"/>
      <c r="J54" s="2788"/>
      <c r="K54" s="2779"/>
      <c r="L54" s="1925"/>
      <c r="M54" s="1925"/>
      <c r="N54" s="1925"/>
      <c r="O54" s="1925"/>
      <c r="P54" s="1925"/>
      <c r="Q54" s="1925"/>
      <c r="R54" s="1925"/>
      <c r="S54" s="267"/>
      <c r="T54" s="267"/>
      <c r="U54" s="267"/>
      <c r="V54" s="267"/>
      <c r="W54" s="1926"/>
      <c r="X54" s="1193"/>
      <c r="Y54" s="1193"/>
      <c r="Z54" s="1193"/>
      <c r="AA54" s="1193"/>
      <c r="AB54" s="1193"/>
      <c r="AC54" s="1193"/>
      <c r="AD54" s="1193"/>
      <c r="AE54" s="1193"/>
      <c r="AF54" s="1193"/>
      <c r="AG54" s="1193"/>
      <c r="AH54" s="1193"/>
      <c r="AI54" s="1193"/>
      <c r="AJ54" s="1193"/>
      <c r="AK54" s="1193"/>
      <c r="AL54" s="1193"/>
      <c r="AM54" s="1193"/>
      <c r="AN54" s="1193"/>
      <c r="AO54" s="1193"/>
      <c r="AP54" s="1193"/>
      <c r="AQ54" s="1193"/>
      <c r="AR54" s="1394">
        <v>0</v>
      </c>
    </row>
    <row r="55" spans="1:44" s="1778" customFormat="1" ht="17.25" hidden="1" customHeight="1">
      <c r="A55" s="259"/>
      <c r="C55" s="258"/>
      <c r="D55" s="2792"/>
      <c r="E55" s="2781"/>
      <c r="F55" s="2795"/>
      <c r="G55" s="2781"/>
      <c r="H55" s="1226"/>
      <c r="I55" s="1923"/>
      <c r="J55" s="1923"/>
      <c r="K55" s="1923"/>
      <c r="L55" s="1923"/>
      <c r="M55" s="1923"/>
      <c r="N55" s="1923"/>
      <c r="O55" s="1923"/>
      <c r="P55" s="1923"/>
      <c r="Q55" s="1923"/>
      <c r="R55" s="1923"/>
      <c r="S55" s="1228"/>
      <c r="T55" s="1228"/>
      <c r="U55" s="1228"/>
      <c r="V55" s="1228"/>
      <c r="W55" s="1924"/>
      <c r="X55" s="1193"/>
      <c r="Y55" s="1193"/>
      <c r="Z55" s="1193"/>
      <c r="AA55" s="1193"/>
      <c r="AB55" s="1193"/>
      <c r="AC55" s="1193"/>
      <c r="AD55" s="1193"/>
      <c r="AE55" s="1193"/>
      <c r="AF55" s="1193"/>
      <c r="AG55" s="1193"/>
      <c r="AH55" s="1193"/>
      <c r="AI55" s="1193"/>
      <c r="AJ55" s="1193"/>
      <c r="AK55" s="1193"/>
      <c r="AL55" s="1193"/>
      <c r="AM55" s="1193"/>
      <c r="AN55" s="1193"/>
      <c r="AO55" s="1193"/>
      <c r="AP55" s="1193"/>
      <c r="AQ55" s="1193"/>
      <c r="AR55" s="1394">
        <v>0</v>
      </c>
    </row>
    <row r="56" spans="1:44" s="1778" customFormat="1" ht="17.25" customHeight="1">
      <c r="A56" s="259"/>
      <c r="C56" s="147"/>
      <c r="D56" s="2791">
        <v>3</v>
      </c>
      <c r="E56" s="2780" t="s">
        <v>213</v>
      </c>
      <c r="F56" s="2793" t="s">
        <v>19</v>
      </c>
      <c r="G56" s="2780"/>
      <c r="H56" s="2782"/>
      <c r="I56" s="2784"/>
      <c r="J56" s="2786"/>
      <c r="K56" s="2778"/>
      <c r="L56" s="2778"/>
      <c r="M56" s="2778"/>
      <c r="N56" s="2789"/>
      <c r="O56" s="2778"/>
      <c r="P56" s="2778"/>
      <c r="Q56" s="2778"/>
      <c r="R56" s="2776"/>
      <c r="S56" s="2778"/>
      <c r="T56" s="1347"/>
      <c r="U56" s="1347"/>
      <c r="V56" s="1346"/>
      <c r="W56" s="1223"/>
      <c r="X56" s="1194"/>
      <c r="Y56" s="1194"/>
      <c r="Z56" s="1194"/>
      <c r="AA56" s="1194"/>
      <c r="AB56" s="1194"/>
      <c r="AC56" s="1194" t="s">
        <v>214</v>
      </c>
      <c r="AD56" s="1194" t="s">
        <v>215</v>
      </c>
      <c r="AE56" s="1194" t="s">
        <v>216</v>
      </c>
      <c r="AF56" s="1194" t="s">
        <v>217</v>
      </c>
      <c r="AG56" s="1194" t="s">
        <v>218</v>
      </c>
      <c r="AH56" s="1194" t="str">
        <f>IF($E$56=0,"",$E$56)</f>
        <v>Тарифы на теплоноситель, поставляемый теплоснабжающими организациями потребителям, другим теплоснабжающим организациям</v>
      </c>
      <c r="AI56" s="1194" t="str">
        <f>IF($G$56=0,"",$G$56)</f>
        <v/>
      </c>
      <c r="AJ56" s="1194" t="str">
        <f>IF($J$56=0,"",$J$56)</f>
        <v/>
      </c>
      <c r="AK56" s="1194" t="str">
        <f>IF($K$56="нет","без дифференциации",IF($N$56=0,"",$N$56))</f>
        <v/>
      </c>
      <c r="AL56" s="1194" t="str">
        <f>IF($O$56="нет","без дифференциации",IF($R$56=0,"",$R$56))</f>
        <v/>
      </c>
      <c r="AM56" s="1194" t="str">
        <f>IF($S$56="нет","без дифференциации",IF($V$56=0,"",$V$56))</f>
        <v/>
      </c>
      <c r="AN56" s="1698">
        <f>$I$56</f>
        <v>0</v>
      </c>
      <c r="AO56" s="1194" t="str">
        <f>$I$56&amp;"."&amp;$M$56</f>
        <v>.</v>
      </c>
      <c r="AP56" s="1186" t="str">
        <f>$I$56&amp;"."&amp;$M$56&amp;"."&amp;$Q$56</f>
        <v>..</v>
      </c>
      <c r="AQ56" s="1186" t="str">
        <f>$I$56&amp;"."&amp;$M$56&amp;"."&amp;$Q$56&amp;"."&amp;$U$56</f>
        <v>...</v>
      </c>
      <c r="AR56" s="1210">
        <v>0</v>
      </c>
    </row>
    <row r="57" spans="1:44" s="1778" customFormat="1" ht="17.25" customHeight="1">
      <c r="A57" s="259"/>
      <c r="C57" s="258"/>
      <c r="D57" s="2791"/>
      <c r="E57" s="2780"/>
      <c r="F57" s="2794"/>
      <c r="G57" s="2780"/>
      <c r="H57" s="2783"/>
      <c r="I57" s="2785"/>
      <c r="J57" s="2787"/>
      <c r="K57" s="2779"/>
      <c r="L57" s="2779"/>
      <c r="M57" s="2779"/>
      <c r="N57" s="2790"/>
      <c r="O57" s="2779"/>
      <c r="P57" s="2779"/>
      <c r="Q57" s="2779"/>
      <c r="R57" s="2777"/>
      <c r="S57" s="2779"/>
      <c r="T57" s="1224"/>
      <c r="U57" s="1224"/>
      <c r="V57" s="1224"/>
      <c r="W57" s="1225"/>
      <c r="X57" s="1186"/>
      <c r="Y57" s="1186"/>
      <c r="Z57" s="1186"/>
      <c r="AA57" s="1186"/>
      <c r="AB57" s="1186"/>
      <c r="AC57" s="1186"/>
      <c r="AD57" s="1186"/>
      <c r="AE57" s="1186"/>
      <c r="AF57" s="1186"/>
      <c r="AG57" s="1186"/>
      <c r="AH57" s="1186"/>
      <c r="AI57" s="1186"/>
      <c r="AJ57" s="1186"/>
      <c r="AK57" s="1186"/>
      <c r="AL57" s="1186"/>
      <c r="AM57" s="1186"/>
      <c r="AN57" s="1186"/>
      <c r="AO57" s="1186"/>
      <c r="AP57" s="1186"/>
      <c r="AQ57" s="1186"/>
      <c r="AR57" s="1210">
        <v>0</v>
      </c>
    </row>
    <row r="58" spans="1:44" s="1778" customFormat="1" ht="17.25" customHeight="1">
      <c r="A58" s="259"/>
      <c r="C58" s="258"/>
      <c r="D58" s="2792"/>
      <c r="E58" s="2781"/>
      <c r="F58" s="2794"/>
      <c r="G58" s="2781"/>
      <c r="H58" s="2783"/>
      <c r="I58" s="2785"/>
      <c r="J58" s="2788"/>
      <c r="K58" s="2779"/>
      <c r="L58" s="2779"/>
      <c r="M58" s="2779"/>
      <c r="N58" s="2777"/>
      <c r="O58" s="2779"/>
      <c r="P58" s="1345"/>
      <c r="Q58" s="1224"/>
      <c r="R58" s="1224"/>
      <c r="S58" s="267"/>
      <c r="T58" s="267"/>
      <c r="U58" s="267"/>
      <c r="V58" s="267"/>
      <c r="W58" s="1225"/>
      <c r="X58" s="1186"/>
      <c r="Y58" s="1186"/>
      <c r="Z58" s="1186"/>
      <c r="AA58" s="1186"/>
      <c r="AB58" s="1186"/>
      <c r="AC58" s="1186"/>
      <c r="AD58" s="1186"/>
      <c r="AE58" s="1186"/>
      <c r="AF58" s="1186"/>
      <c r="AG58" s="1186"/>
      <c r="AH58" s="1186"/>
      <c r="AI58" s="1186"/>
      <c r="AJ58" s="1186"/>
      <c r="AK58" s="1186"/>
      <c r="AL58" s="1186"/>
      <c r="AM58" s="1186"/>
      <c r="AN58" s="1186"/>
      <c r="AO58" s="1186"/>
      <c r="AP58" s="1186"/>
      <c r="AQ58" s="1186"/>
      <c r="AR58" s="1210">
        <v>0</v>
      </c>
    </row>
    <row r="59" spans="1:44" s="1778" customFormat="1" ht="17.25" customHeight="1">
      <c r="A59" s="259"/>
      <c r="C59" s="258"/>
      <c r="D59" s="2792"/>
      <c r="E59" s="2781"/>
      <c r="F59" s="2794"/>
      <c r="G59" s="2781"/>
      <c r="H59" s="2783"/>
      <c r="I59" s="2785"/>
      <c r="J59" s="2788"/>
      <c r="K59" s="2779"/>
      <c r="L59" s="1224"/>
      <c r="M59" s="1224"/>
      <c r="N59" s="1224"/>
      <c r="O59" s="1224"/>
      <c r="P59" s="1224"/>
      <c r="Q59" s="1224"/>
      <c r="R59" s="1224"/>
      <c r="S59" s="267"/>
      <c r="T59" s="267"/>
      <c r="U59" s="267"/>
      <c r="V59" s="267"/>
      <c r="W59" s="1225"/>
      <c r="X59" s="1186"/>
      <c r="Y59" s="1186"/>
      <c r="Z59" s="1186"/>
      <c r="AA59" s="1186"/>
      <c r="AB59" s="1186"/>
      <c r="AC59" s="1186"/>
      <c r="AD59" s="1186"/>
      <c r="AE59" s="1186"/>
      <c r="AF59" s="1186"/>
      <c r="AG59" s="1186"/>
      <c r="AH59" s="1186"/>
      <c r="AI59" s="1186"/>
      <c r="AJ59" s="1186"/>
      <c r="AK59" s="1186"/>
      <c r="AL59" s="1186"/>
      <c r="AM59" s="1186"/>
      <c r="AN59" s="1186"/>
      <c r="AO59" s="1186"/>
      <c r="AP59" s="1186"/>
      <c r="AQ59" s="1186"/>
      <c r="AR59" s="1210">
        <v>0</v>
      </c>
    </row>
    <row r="60" spans="1:44" s="1778" customFormat="1" ht="17.25" customHeight="1">
      <c r="A60" s="259"/>
      <c r="C60" s="258"/>
      <c r="D60" s="2792"/>
      <c r="E60" s="2781"/>
      <c r="F60" s="2795"/>
      <c r="G60" s="2781"/>
      <c r="H60" s="1226"/>
      <c r="I60" s="1227"/>
      <c r="J60" s="1227"/>
      <c r="K60" s="1227"/>
      <c r="L60" s="1227"/>
      <c r="M60" s="1227"/>
      <c r="N60" s="1227"/>
      <c r="O60" s="1227"/>
      <c r="P60" s="1227"/>
      <c r="Q60" s="1227"/>
      <c r="R60" s="1227"/>
      <c r="S60" s="1228"/>
      <c r="T60" s="1228"/>
      <c r="U60" s="1228"/>
      <c r="V60" s="1228"/>
      <c r="W60" s="1229"/>
      <c r="X60" s="1186"/>
      <c r="Y60" s="1186"/>
      <c r="Z60" s="1186"/>
      <c r="AA60" s="1186"/>
      <c r="AB60" s="1186"/>
      <c r="AC60" s="1186"/>
      <c r="AD60" s="1186"/>
      <c r="AE60" s="1186"/>
      <c r="AF60" s="1186"/>
      <c r="AG60" s="1186"/>
      <c r="AH60" s="1186"/>
      <c r="AI60" s="1186"/>
      <c r="AJ60" s="1186"/>
      <c r="AK60" s="1186"/>
      <c r="AL60" s="1186"/>
      <c r="AM60" s="1186"/>
      <c r="AN60" s="1186"/>
      <c r="AO60" s="1186"/>
      <c r="AP60" s="1186"/>
      <c r="AQ60" s="1186"/>
      <c r="AR60" s="1210">
        <v>0</v>
      </c>
    </row>
    <row r="61" spans="1:44" s="1778" customFormat="1" ht="17.25" customHeight="1">
      <c r="A61" s="259"/>
      <c r="C61" s="147"/>
      <c r="D61" s="2791">
        <v>4</v>
      </c>
      <c r="E61" s="2780" t="s">
        <v>219</v>
      </c>
      <c r="F61" s="2793" t="s">
        <v>19</v>
      </c>
      <c r="G61" s="2780"/>
      <c r="H61" s="2782"/>
      <c r="I61" s="2784"/>
      <c r="J61" s="2786"/>
      <c r="K61" s="2778"/>
      <c r="L61" s="2778"/>
      <c r="M61" s="2778"/>
      <c r="N61" s="2789"/>
      <c r="O61" s="2778"/>
      <c r="P61" s="2778"/>
      <c r="Q61" s="2778"/>
      <c r="R61" s="2776"/>
      <c r="S61" s="2778"/>
      <c r="T61" s="1347"/>
      <c r="U61" s="1347"/>
      <c r="V61" s="1346"/>
      <c r="W61" s="1223"/>
      <c r="X61" s="1194"/>
      <c r="Y61" s="1194"/>
      <c r="Z61" s="1194"/>
      <c r="AA61" s="1194"/>
      <c r="AB61" s="1194"/>
      <c r="AC61" s="1194" t="s">
        <v>220</v>
      </c>
      <c r="AD61" s="1194" t="s">
        <v>221</v>
      </c>
      <c r="AE61" s="1194" t="s">
        <v>222</v>
      </c>
      <c r="AF61" s="1194" t="s">
        <v>223</v>
      </c>
      <c r="AG61" s="1194" t="s">
        <v>224</v>
      </c>
      <c r="AH61" s="1194" t="str">
        <f>IF($E$61=0,"",$E$61)</f>
        <v>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v>
      </c>
      <c r="AI61" s="1194" t="str">
        <f>IF($G$61=0,"",$G$61)</f>
        <v/>
      </c>
      <c r="AJ61" s="1194" t="str">
        <f>IF($J$61=0,"",$J$61)</f>
        <v/>
      </c>
      <c r="AK61" s="1194" t="str">
        <f>IF($K$61="нет","без дифференциации",IF($N$61=0,"",$N$61))</f>
        <v/>
      </c>
      <c r="AL61" s="1194" t="str">
        <f>IF($O$61="нет","без дифференциации",IF($R$61=0,"",$R$61))</f>
        <v/>
      </c>
      <c r="AM61" s="1194" t="str">
        <f>IF($S$61="нет","без дифференциации",IF($V$61=0,"",$V$61))</f>
        <v/>
      </c>
      <c r="AN61" s="1698">
        <f>$I$61</f>
        <v>0</v>
      </c>
      <c r="AO61" s="1194" t="str">
        <f>$I$61&amp;"."&amp;$M$61</f>
        <v>.</v>
      </c>
      <c r="AP61" s="1186" t="str">
        <f>$I$61&amp;"."&amp;$M$61&amp;"."&amp;$Q$61</f>
        <v>..</v>
      </c>
      <c r="AQ61" s="1186" t="str">
        <f>$I$61&amp;"."&amp;$M$61&amp;"."&amp;$Q$61&amp;"."&amp;$U$61</f>
        <v>...</v>
      </c>
      <c r="AR61" s="1210">
        <v>0</v>
      </c>
    </row>
    <row r="62" spans="1:44" s="1778" customFormat="1" ht="17.25" customHeight="1">
      <c r="A62" s="259"/>
      <c r="C62" s="258"/>
      <c r="D62" s="2791"/>
      <c r="E62" s="2780"/>
      <c r="F62" s="2794"/>
      <c r="G62" s="2780"/>
      <c r="H62" s="2783"/>
      <c r="I62" s="2785"/>
      <c r="J62" s="2787"/>
      <c r="K62" s="2779"/>
      <c r="L62" s="2779"/>
      <c r="M62" s="2779"/>
      <c r="N62" s="2790"/>
      <c r="O62" s="2779"/>
      <c r="P62" s="2779"/>
      <c r="Q62" s="2779"/>
      <c r="R62" s="2777"/>
      <c r="S62" s="2779"/>
      <c r="T62" s="1224"/>
      <c r="U62" s="1224"/>
      <c r="V62" s="1224"/>
      <c r="W62" s="1225"/>
      <c r="X62" s="1186"/>
      <c r="Y62" s="1186"/>
      <c r="Z62" s="1186"/>
      <c r="AA62" s="1186"/>
      <c r="AB62" s="1186"/>
      <c r="AC62" s="1186"/>
      <c r="AD62" s="1186"/>
      <c r="AE62" s="1186"/>
      <c r="AF62" s="1186"/>
      <c r="AG62" s="1186"/>
      <c r="AH62" s="1186"/>
      <c r="AI62" s="1186"/>
      <c r="AJ62" s="1186"/>
      <c r="AK62" s="1186"/>
      <c r="AL62" s="1186"/>
      <c r="AM62" s="1186"/>
      <c r="AN62" s="1186"/>
      <c r="AO62" s="1186"/>
      <c r="AP62" s="1186"/>
      <c r="AQ62" s="1186"/>
      <c r="AR62" s="1210">
        <v>0</v>
      </c>
    </row>
    <row r="63" spans="1:44" s="1778" customFormat="1" ht="17.25" customHeight="1">
      <c r="A63" s="259"/>
      <c r="C63" s="258"/>
      <c r="D63" s="2792"/>
      <c r="E63" s="2781"/>
      <c r="F63" s="2794"/>
      <c r="G63" s="2781"/>
      <c r="H63" s="2783"/>
      <c r="I63" s="2785"/>
      <c r="J63" s="2788"/>
      <c r="K63" s="2779"/>
      <c r="L63" s="2779"/>
      <c r="M63" s="2779"/>
      <c r="N63" s="2777"/>
      <c r="O63" s="2779"/>
      <c r="P63" s="1345"/>
      <c r="Q63" s="1224"/>
      <c r="R63" s="1224"/>
      <c r="S63" s="267"/>
      <c r="T63" s="267"/>
      <c r="U63" s="267"/>
      <c r="V63" s="267"/>
      <c r="W63" s="1225"/>
      <c r="X63" s="1186"/>
      <c r="Y63" s="1186"/>
      <c r="Z63" s="1186"/>
      <c r="AA63" s="1186"/>
      <c r="AB63" s="1186"/>
      <c r="AC63" s="1186"/>
      <c r="AD63" s="1186"/>
      <c r="AE63" s="1186"/>
      <c r="AF63" s="1186"/>
      <c r="AG63" s="1186"/>
      <c r="AH63" s="1186"/>
      <c r="AI63" s="1186"/>
      <c r="AJ63" s="1186"/>
      <c r="AK63" s="1186"/>
      <c r="AL63" s="1186"/>
      <c r="AM63" s="1186"/>
      <c r="AN63" s="1186"/>
      <c r="AO63" s="1186"/>
      <c r="AP63" s="1186"/>
      <c r="AQ63" s="1186"/>
      <c r="AR63" s="1210">
        <v>0</v>
      </c>
    </row>
    <row r="64" spans="1:44" s="1778" customFormat="1" ht="17.25" customHeight="1">
      <c r="A64" s="259"/>
      <c r="C64" s="258"/>
      <c r="D64" s="2792"/>
      <c r="E64" s="2781"/>
      <c r="F64" s="2794"/>
      <c r="G64" s="2781"/>
      <c r="H64" s="2783"/>
      <c r="I64" s="2785"/>
      <c r="J64" s="2788"/>
      <c r="K64" s="2779"/>
      <c r="L64" s="1224"/>
      <c r="M64" s="1224"/>
      <c r="N64" s="1224"/>
      <c r="O64" s="1224"/>
      <c r="P64" s="1224"/>
      <c r="Q64" s="1224"/>
      <c r="R64" s="1224"/>
      <c r="S64" s="267"/>
      <c r="T64" s="267"/>
      <c r="U64" s="267"/>
      <c r="V64" s="267"/>
      <c r="W64" s="1225"/>
      <c r="X64" s="1186"/>
      <c r="Y64" s="1186"/>
      <c r="Z64" s="1186"/>
      <c r="AA64" s="1186"/>
      <c r="AB64" s="1186"/>
      <c r="AC64" s="1186"/>
      <c r="AD64" s="1186"/>
      <c r="AE64" s="1186"/>
      <c r="AF64" s="1186"/>
      <c r="AG64" s="1186"/>
      <c r="AH64" s="1186"/>
      <c r="AI64" s="1186"/>
      <c r="AJ64" s="1186"/>
      <c r="AK64" s="1186"/>
      <c r="AL64" s="1186"/>
      <c r="AM64" s="1186"/>
      <c r="AN64" s="1186"/>
      <c r="AO64" s="1186"/>
      <c r="AP64" s="1186"/>
      <c r="AQ64" s="1186"/>
      <c r="AR64" s="1210">
        <v>0</v>
      </c>
    </row>
    <row r="65" spans="1:44" s="1778" customFormat="1" ht="17.25" customHeight="1">
      <c r="A65" s="259"/>
      <c r="C65" s="258"/>
      <c r="D65" s="2792"/>
      <c r="E65" s="2781"/>
      <c r="F65" s="2795"/>
      <c r="G65" s="2781"/>
      <c r="H65" s="1226"/>
      <c r="I65" s="1227"/>
      <c r="J65" s="1227"/>
      <c r="K65" s="1227"/>
      <c r="L65" s="1227"/>
      <c r="M65" s="1227"/>
      <c r="N65" s="1227"/>
      <c r="O65" s="1227"/>
      <c r="P65" s="1227"/>
      <c r="Q65" s="1227"/>
      <c r="R65" s="1227"/>
      <c r="S65" s="1228"/>
      <c r="T65" s="1228"/>
      <c r="U65" s="1228"/>
      <c r="V65" s="1228"/>
      <c r="W65" s="1229"/>
      <c r="X65" s="1186"/>
      <c r="Y65" s="1186"/>
      <c r="Z65" s="1186"/>
      <c r="AA65" s="1186"/>
      <c r="AB65" s="1186"/>
      <c r="AC65" s="1186"/>
      <c r="AD65" s="1186"/>
      <c r="AE65" s="1186"/>
      <c r="AF65" s="1186"/>
      <c r="AG65" s="1186"/>
      <c r="AH65" s="1186"/>
      <c r="AI65" s="1186"/>
      <c r="AJ65" s="1186"/>
      <c r="AK65" s="1186"/>
      <c r="AL65" s="1186"/>
      <c r="AM65" s="1186"/>
      <c r="AN65" s="1186"/>
      <c r="AO65" s="1186"/>
      <c r="AP65" s="1186"/>
      <c r="AQ65" s="1186"/>
      <c r="AR65" s="1210">
        <v>0</v>
      </c>
    </row>
    <row r="66" spans="1:44" s="1778" customFormat="1" ht="17.25" customHeight="1">
      <c r="A66" s="259"/>
      <c r="C66" s="147"/>
      <c r="D66" s="2791">
        <v>5</v>
      </c>
      <c r="E66" s="2780" t="s">
        <v>225</v>
      </c>
      <c r="F66" s="2793" t="s">
        <v>19</v>
      </c>
      <c r="G66" s="2780"/>
      <c r="H66" s="2782"/>
      <c r="I66" s="2784"/>
      <c r="J66" s="2786"/>
      <c r="K66" s="2778"/>
      <c r="L66" s="2778"/>
      <c r="M66" s="2778"/>
      <c r="N66" s="2789"/>
      <c r="O66" s="2778"/>
      <c r="P66" s="2778"/>
      <c r="Q66" s="2778"/>
      <c r="R66" s="2776"/>
      <c r="S66" s="2778"/>
      <c r="T66" s="1347"/>
      <c r="U66" s="1347"/>
      <c r="V66" s="1346"/>
      <c r="W66" s="1223"/>
      <c r="X66" s="1194"/>
      <c r="Y66" s="1194"/>
      <c r="Z66" s="1194"/>
      <c r="AA66" s="1194"/>
      <c r="AB66" s="1194"/>
      <c r="AC66" s="1194" t="s">
        <v>226</v>
      </c>
      <c r="AD66" s="1194" t="s">
        <v>227</v>
      </c>
      <c r="AE66" s="1194" t="s">
        <v>228</v>
      </c>
      <c r="AF66" s="1194" t="s">
        <v>229</v>
      </c>
      <c r="AG66" s="1194" t="s">
        <v>230</v>
      </c>
      <c r="AH66" s="1194" t="str">
        <f>IF($E$66=0,"",$E$66)</f>
        <v>Тарифы на услуги по передаче тепловой энергии</v>
      </c>
      <c r="AI66" s="1194" t="str">
        <f>IF($G$66=0,"",$G$66)</f>
        <v/>
      </c>
      <c r="AJ66" s="1194" t="str">
        <f>IF($J$66=0,"",$J$66)</f>
        <v/>
      </c>
      <c r="AK66" s="1194" t="str">
        <f>IF($K$66="нет","без дифференциации",IF($N$66=0,"",$N$66))</f>
        <v/>
      </c>
      <c r="AL66" s="1194" t="str">
        <f>IF($O$66="нет","без дифференциации",IF($R$66=0,"",$R$66))</f>
        <v/>
      </c>
      <c r="AM66" s="1194" t="str">
        <f>IF($S$66="нет","без дифференциации",IF($V$66=0,"",$V$66))</f>
        <v/>
      </c>
      <c r="AN66" s="1698">
        <f>$I$66</f>
        <v>0</v>
      </c>
      <c r="AO66" s="1194" t="str">
        <f>$I$66&amp;"."&amp;$M$66</f>
        <v>.</v>
      </c>
      <c r="AP66" s="1186" t="str">
        <f>$I$66&amp;"."&amp;$M$66&amp;"."&amp;$Q$66</f>
        <v>..</v>
      </c>
      <c r="AQ66" s="1186" t="str">
        <f>$I$66&amp;"."&amp;$M$66&amp;"."&amp;$Q$66&amp;"."&amp;$U$66</f>
        <v>...</v>
      </c>
      <c r="AR66" s="1210">
        <v>0</v>
      </c>
    </row>
    <row r="67" spans="1:44" s="1778" customFormat="1" ht="17.25" customHeight="1">
      <c r="A67" s="259"/>
      <c r="C67" s="258"/>
      <c r="D67" s="2791"/>
      <c r="E67" s="2780"/>
      <c r="F67" s="2794"/>
      <c r="G67" s="2780"/>
      <c r="H67" s="2783"/>
      <c r="I67" s="2785"/>
      <c r="J67" s="2787"/>
      <c r="K67" s="2779"/>
      <c r="L67" s="2779"/>
      <c r="M67" s="2779"/>
      <c r="N67" s="2790"/>
      <c r="O67" s="2779"/>
      <c r="P67" s="2779"/>
      <c r="Q67" s="2779"/>
      <c r="R67" s="2777"/>
      <c r="S67" s="2779"/>
      <c r="T67" s="1224"/>
      <c r="U67" s="1224"/>
      <c r="V67" s="1224"/>
      <c r="W67" s="1225"/>
      <c r="X67" s="1186"/>
      <c r="Y67" s="1186"/>
      <c r="Z67" s="1186"/>
      <c r="AA67" s="1186"/>
      <c r="AB67" s="1186"/>
      <c r="AC67" s="1186"/>
      <c r="AD67" s="1186"/>
      <c r="AE67" s="1186"/>
      <c r="AF67" s="1186"/>
      <c r="AG67" s="1186"/>
      <c r="AH67" s="1186"/>
      <c r="AI67" s="1186"/>
      <c r="AJ67" s="1186"/>
      <c r="AK67" s="1186"/>
      <c r="AL67" s="1186"/>
      <c r="AM67" s="1186"/>
      <c r="AN67" s="1186"/>
      <c r="AO67" s="1186"/>
      <c r="AP67" s="1186"/>
      <c r="AQ67" s="1186"/>
      <c r="AR67" s="1210">
        <v>0</v>
      </c>
    </row>
    <row r="68" spans="1:44" s="1778" customFormat="1" ht="17.25" customHeight="1">
      <c r="A68" s="259"/>
      <c r="C68" s="258"/>
      <c r="D68" s="2792"/>
      <c r="E68" s="2781"/>
      <c r="F68" s="2794"/>
      <c r="G68" s="2781"/>
      <c r="H68" s="2783"/>
      <c r="I68" s="2785"/>
      <c r="J68" s="2788"/>
      <c r="K68" s="2779"/>
      <c r="L68" s="2779"/>
      <c r="M68" s="2779"/>
      <c r="N68" s="2777"/>
      <c r="O68" s="2779"/>
      <c r="P68" s="1345"/>
      <c r="Q68" s="1224"/>
      <c r="R68" s="1224"/>
      <c r="S68" s="267"/>
      <c r="T68" s="267"/>
      <c r="U68" s="267"/>
      <c r="V68" s="267"/>
      <c r="W68" s="1225"/>
      <c r="X68" s="1186"/>
      <c r="Y68" s="1186"/>
      <c r="Z68" s="1186"/>
      <c r="AA68" s="1186"/>
      <c r="AB68" s="1186"/>
      <c r="AC68" s="1186"/>
      <c r="AD68" s="1186"/>
      <c r="AE68" s="1186"/>
      <c r="AF68" s="1186"/>
      <c r="AG68" s="1186"/>
      <c r="AH68" s="1186"/>
      <c r="AI68" s="1186"/>
      <c r="AJ68" s="1186"/>
      <c r="AK68" s="1186"/>
      <c r="AL68" s="1186"/>
      <c r="AM68" s="1186"/>
      <c r="AN68" s="1186"/>
      <c r="AO68" s="1186"/>
      <c r="AP68" s="1186"/>
      <c r="AQ68" s="1186"/>
      <c r="AR68" s="1210">
        <v>0</v>
      </c>
    </row>
    <row r="69" spans="1:44" s="1778" customFormat="1" ht="17.25" customHeight="1">
      <c r="A69" s="259"/>
      <c r="C69" s="258"/>
      <c r="D69" s="2792"/>
      <c r="E69" s="2781"/>
      <c r="F69" s="2794"/>
      <c r="G69" s="2781"/>
      <c r="H69" s="2783"/>
      <c r="I69" s="2785"/>
      <c r="J69" s="2788"/>
      <c r="K69" s="2779"/>
      <c r="L69" s="1224"/>
      <c r="M69" s="1224"/>
      <c r="N69" s="1224"/>
      <c r="O69" s="1224"/>
      <c r="P69" s="1224"/>
      <c r="Q69" s="1224"/>
      <c r="R69" s="1224"/>
      <c r="S69" s="267"/>
      <c r="T69" s="267"/>
      <c r="U69" s="267"/>
      <c r="V69" s="267"/>
      <c r="W69" s="1225"/>
      <c r="X69" s="1186"/>
      <c r="Y69" s="1186"/>
      <c r="Z69" s="1186"/>
      <c r="AA69" s="1186"/>
      <c r="AB69" s="1186"/>
      <c r="AC69" s="1186"/>
      <c r="AD69" s="1186"/>
      <c r="AE69" s="1186"/>
      <c r="AF69" s="1186"/>
      <c r="AG69" s="1186"/>
      <c r="AH69" s="1186"/>
      <c r="AI69" s="1186"/>
      <c r="AJ69" s="1186"/>
      <c r="AK69" s="1186"/>
      <c r="AL69" s="1186"/>
      <c r="AM69" s="1186"/>
      <c r="AN69" s="1186"/>
      <c r="AO69" s="1186"/>
      <c r="AP69" s="1186"/>
      <c r="AQ69" s="1186"/>
      <c r="AR69" s="1210">
        <v>0</v>
      </c>
    </row>
    <row r="70" spans="1:44" s="1778" customFormat="1" ht="17.25" customHeight="1">
      <c r="A70" s="259"/>
      <c r="C70" s="258"/>
      <c r="D70" s="2792"/>
      <c r="E70" s="2781"/>
      <c r="F70" s="2795"/>
      <c r="G70" s="2781"/>
      <c r="H70" s="1226"/>
      <c r="I70" s="1227"/>
      <c r="J70" s="1227"/>
      <c r="K70" s="1227"/>
      <c r="L70" s="1227"/>
      <c r="M70" s="1227"/>
      <c r="N70" s="1227"/>
      <c r="O70" s="1227"/>
      <c r="P70" s="1227"/>
      <c r="Q70" s="1227"/>
      <c r="R70" s="1227"/>
      <c r="S70" s="1228"/>
      <c r="T70" s="1228"/>
      <c r="U70" s="1228"/>
      <c r="V70" s="1228"/>
      <c r="W70" s="1229"/>
      <c r="X70" s="1186"/>
      <c r="Y70" s="1186"/>
      <c r="Z70" s="1186"/>
      <c r="AA70" s="1186"/>
      <c r="AB70" s="1186"/>
      <c r="AC70" s="1186"/>
      <c r="AD70" s="1186"/>
      <c r="AE70" s="1186"/>
      <c r="AF70" s="1186"/>
      <c r="AG70" s="1186"/>
      <c r="AH70" s="1186"/>
      <c r="AI70" s="1186"/>
      <c r="AJ70" s="1186"/>
      <c r="AK70" s="1186"/>
      <c r="AL70" s="1186"/>
      <c r="AM70" s="1186"/>
      <c r="AN70" s="1186"/>
      <c r="AO70" s="1186"/>
      <c r="AP70" s="1186"/>
      <c r="AQ70" s="1186"/>
      <c r="AR70" s="1210">
        <v>0</v>
      </c>
    </row>
    <row r="71" spans="1:44" s="1778" customFormat="1" ht="17.25" customHeight="1">
      <c r="A71" s="259"/>
      <c r="C71" s="147"/>
      <c r="D71" s="2791">
        <v>6</v>
      </c>
      <c r="E71" s="2780" t="s">
        <v>231</v>
      </c>
      <c r="F71" s="2793" t="s">
        <v>19</v>
      </c>
      <c r="G71" s="2780"/>
      <c r="H71" s="2782"/>
      <c r="I71" s="2784"/>
      <c r="J71" s="2786"/>
      <c r="K71" s="2778"/>
      <c r="L71" s="2778"/>
      <c r="M71" s="2778"/>
      <c r="N71" s="2789"/>
      <c r="O71" s="2778"/>
      <c r="P71" s="2778"/>
      <c r="Q71" s="2778"/>
      <c r="R71" s="2776"/>
      <c r="S71" s="2778"/>
      <c r="T71" s="1347"/>
      <c r="U71" s="1347"/>
      <c r="V71" s="1346"/>
      <c r="W71" s="1223"/>
      <c r="X71" s="1194"/>
      <c r="Y71" s="1194"/>
      <c r="Z71" s="1194"/>
      <c r="AA71" s="1194"/>
      <c r="AB71" s="1194"/>
      <c r="AC71" s="1194" t="s">
        <v>232</v>
      </c>
      <c r="AD71" s="1194" t="s">
        <v>233</v>
      </c>
      <c r="AE71" s="1194" t="s">
        <v>234</v>
      </c>
      <c r="AF71" s="1194" t="s">
        <v>235</v>
      </c>
      <c r="AG71" s="1194" t="s">
        <v>236</v>
      </c>
      <c r="AH71" s="1194" t="str">
        <f>IF($E$71=0,"",$E$71)</f>
        <v>Тарифы на услуги по передаче теплоносителя</v>
      </c>
      <c r="AI71" s="1194" t="str">
        <f>IF($G$71=0,"",$G$71)</f>
        <v/>
      </c>
      <c r="AJ71" s="1194" t="str">
        <f>IF($J$71=0,"",$J$71)</f>
        <v/>
      </c>
      <c r="AK71" s="1194" t="str">
        <f>IF($K$71="нет","без дифференциации",IF($N$71=0,"",$N$71))</f>
        <v/>
      </c>
      <c r="AL71" s="1194" t="str">
        <f>IF($O$71="нет","без дифференциации",IF($R$71=0,"",$R$71))</f>
        <v/>
      </c>
      <c r="AM71" s="1194" t="str">
        <f>IF($S$71="нет","без дифференциации",IF($V$71=0,"",$V$71))</f>
        <v/>
      </c>
      <c r="AN71" s="1698">
        <f>$I$71</f>
        <v>0</v>
      </c>
      <c r="AO71" s="1194" t="str">
        <f>$I$71&amp;"."&amp;$M$71</f>
        <v>.</v>
      </c>
      <c r="AP71" s="1186" t="str">
        <f>$I$71&amp;"."&amp;$M$71&amp;"."&amp;$Q$71</f>
        <v>..</v>
      </c>
      <c r="AQ71" s="1186" t="str">
        <f>$I$71&amp;"."&amp;$M$71&amp;"."&amp;$Q$71&amp;"."&amp;$U$71</f>
        <v>...</v>
      </c>
      <c r="AR71" s="1210">
        <v>0</v>
      </c>
    </row>
    <row r="72" spans="1:44" s="1778" customFormat="1" ht="17.25" customHeight="1">
      <c r="A72" s="259"/>
      <c r="C72" s="258"/>
      <c r="D72" s="2791"/>
      <c r="E72" s="2780"/>
      <c r="F72" s="2794"/>
      <c r="G72" s="2780"/>
      <c r="H72" s="2783"/>
      <c r="I72" s="2785"/>
      <c r="J72" s="2787"/>
      <c r="K72" s="2779"/>
      <c r="L72" s="2779"/>
      <c r="M72" s="2779"/>
      <c r="N72" s="2790"/>
      <c r="O72" s="2779"/>
      <c r="P72" s="2779"/>
      <c r="Q72" s="2779"/>
      <c r="R72" s="2777"/>
      <c r="S72" s="2779"/>
      <c r="T72" s="1224"/>
      <c r="U72" s="1224"/>
      <c r="V72" s="1224"/>
      <c r="W72" s="1225"/>
      <c r="X72" s="1186"/>
      <c r="Y72" s="1186"/>
      <c r="Z72" s="1186"/>
      <c r="AA72" s="1186"/>
      <c r="AB72" s="1186"/>
      <c r="AC72" s="1186"/>
      <c r="AD72" s="1186"/>
      <c r="AE72" s="1186"/>
      <c r="AF72" s="1186"/>
      <c r="AG72" s="1186"/>
      <c r="AH72" s="1186"/>
      <c r="AI72" s="1186"/>
      <c r="AJ72" s="1186"/>
      <c r="AK72" s="1186"/>
      <c r="AL72" s="1186"/>
      <c r="AM72" s="1186"/>
      <c r="AN72" s="1186"/>
      <c r="AO72" s="1186"/>
      <c r="AP72" s="1186"/>
      <c r="AQ72" s="1186"/>
      <c r="AR72" s="1210">
        <v>0</v>
      </c>
    </row>
    <row r="73" spans="1:44" s="1778" customFormat="1" ht="17.25" customHeight="1">
      <c r="A73" s="259"/>
      <c r="C73" s="258"/>
      <c r="D73" s="2792"/>
      <c r="E73" s="2781"/>
      <c r="F73" s="2794"/>
      <c r="G73" s="2781"/>
      <c r="H73" s="2783"/>
      <c r="I73" s="2785"/>
      <c r="J73" s="2788"/>
      <c r="K73" s="2779"/>
      <c r="L73" s="2779"/>
      <c r="M73" s="2779"/>
      <c r="N73" s="2777"/>
      <c r="O73" s="2779"/>
      <c r="P73" s="1345"/>
      <c r="Q73" s="1224"/>
      <c r="R73" s="1224"/>
      <c r="S73" s="267"/>
      <c r="T73" s="267"/>
      <c r="U73" s="267"/>
      <c r="V73" s="267"/>
      <c r="W73" s="1225"/>
      <c r="X73" s="1186"/>
      <c r="Y73" s="1186"/>
      <c r="Z73" s="1186"/>
      <c r="AA73" s="1186"/>
      <c r="AB73" s="1186"/>
      <c r="AC73" s="1186"/>
      <c r="AD73" s="1186"/>
      <c r="AE73" s="1186"/>
      <c r="AF73" s="1186"/>
      <c r="AG73" s="1186"/>
      <c r="AH73" s="1186"/>
      <c r="AI73" s="1186"/>
      <c r="AJ73" s="1186"/>
      <c r="AK73" s="1186"/>
      <c r="AL73" s="1186"/>
      <c r="AM73" s="1186"/>
      <c r="AN73" s="1186"/>
      <c r="AO73" s="1186"/>
      <c r="AP73" s="1186"/>
      <c r="AQ73" s="1186"/>
      <c r="AR73" s="1210">
        <v>0</v>
      </c>
    </row>
    <row r="74" spans="1:44" s="1778" customFormat="1" ht="17.25" customHeight="1">
      <c r="A74" s="259"/>
      <c r="C74" s="147"/>
      <c r="D74" s="2792"/>
      <c r="E74" s="2781"/>
      <c r="F74" s="2794"/>
      <c r="G74" s="2781"/>
      <c r="H74" s="2783"/>
      <c r="I74" s="2785"/>
      <c r="J74" s="2788"/>
      <c r="K74" s="2779"/>
      <c r="L74" s="1224"/>
      <c r="M74" s="1224"/>
      <c r="N74" s="1224"/>
      <c r="O74" s="1224"/>
      <c r="P74" s="1224"/>
      <c r="Q74" s="1224"/>
      <c r="R74" s="1224"/>
      <c r="S74" s="267"/>
      <c r="T74" s="267"/>
      <c r="U74" s="267"/>
      <c r="V74" s="267"/>
      <c r="W74" s="1225"/>
      <c r="Y74" s="1194"/>
      <c r="Z74" s="1194"/>
      <c r="AA74" s="1194"/>
      <c r="AB74" s="1194"/>
      <c r="AC74" s="1194"/>
      <c r="AD74" s="1194"/>
      <c r="AE74" s="1194"/>
      <c r="AF74" s="1194"/>
      <c r="AG74" s="1194"/>
      <c r="AH74" s="1194"/>
      <c r="AI74" s="1194"/>
      <c r="AJ74" s="1194"/>
      <c r="AK74" s="1194"/>
      <c r="AL74" s="1194"/>
      <c r="AM74" s="1194"/>
      <c r="AN74" s="1194"/>
      <c r="AO74" s="1194"/>
      <c r="AP74" s="1194"/>
      <c r="AQ74" s="1194"/>
      <c r="AR74" s="1253">
        <v>0</v>
      </c>
    </row>
    <row r="75" spans="1:44" s="1778" customFormat="1" ht="17.25" customHeight="1">
      <c r="A75" s="259"/>
      <c r="C75" s="258"/>
      <c r="D75" s="2792"/>
      <c r="E75" s="2781"/>
      <c r="F75" s="2795"/>
      <c r="G75" s="2781"/>
      <c r="H75" s="1226"/>
      <c r="I75" s="1227"/>
      <c r="J75" s="1227"/>
      <c r="K75" s="1227"/>
      <c r="L75" s="1227"/>
      <c r="M75" s="1227"/>
      <c r="N75" s="1227"/>
      <c r="O75" s="1227"/>
      <c r="P75" s="1227"/>
      <c r="Q75" s="1227"/>
      <c r="R75" s="1227"/>
      <c r="S75" s="1228"/>
      <c r="T75" s="1228"/>
      <c r="U75" s="1228"/>
      <c r="V75" s="1228"/>
      <c r="W75" s="1229"/>
      <c r="X75" s="1186"/>
      <c r="Y75" s="1186"/>
      <c r="Z75" s="1186"/>
      <c r="AA75" s="1186"/>
      <c r="AB75" s="1186"/>
      <c r="AC75" s="1186"/>
      <c r="AD75" s="1186"/>
      <c r="AE75" s="1186"/>
      <c r="AF75" s="1186"/>
      <c r="AG75" s="1186"/>
      <c r="AH75" s="1186"/>
      <c r="AI75" s="1186"/>
      <c r="AJ75" s="1186"/>
      <c r="AK75" s="1186"/>
      <c r="AL75" s="1186"/>
      <c r="AM75" s="1186"/>
      <c r="AN75" s="1186"/>
      <c r="AO75" s="1186"/>
      <c r="AP75" s="1186"/>
      <c r="AQ75" s="1186"/>
      <c r="AR75" s="1210">
        <v>0</v>
      </c>
    </row>
    <row r="76" spans="1:44" s="1778" customFormat="1" ht="17.25" customHeight="1">
      <c r="A76" s="259"/>
      <c r="C76" s="147"/>
      <c r="D76" s="2799">
        <v>7</v>
      </c>
      <c r="E76" s="2802" t="s">
        <v>237</v>
      </c>
      <c r="F76" s="2793" t="s">
        <v>19</v>
      </c>
      <c r="G76" s="2802"/>
      <c r="H76" s="2782"/>
      <c r="I76" s="2784"/>
      <c r="J76" s="2786"/>
      <c r="K76" s="2778"/>
      <c r="L76" s="2778"/>
      <c r="M76" s="2778"/>
      <c r="N76" s="2789"/>
      <c r="O76" s="2778"/>
      <c r="P76" s="2778"/>
      <c r="Q76" s="2778"/>
      <c r="R76" s="2776"/>
      <c r="S76" s="2778"/>
      <c r="T76" s="1347"/>
      <c r="U76" s="1347"/>
      <c r="V76" s="1346"/>
      <c r="W76" s="1223"/>
      <c r="X76" s="1194"/>
      <c r="Y76" s="1194"/>
      <c r="Z76" s="1194"/>
      <c r="AA76" s="1194"/>
      <c r="AB76" s="1194"/>
      <c r="AC76" s="1194" t="s">
        <v>238</v>
      </c>
      <c r="AD76" s="1194" t="s">
        <v>239</v>
      </c>
      <c r="AE76" s="1194" t="s">
        <v>240</v>
      </c>
      <c r="AF76" s="1194" t="s">
        <v>241</v>
      </c>
      <c r="AG76" s="1194" t="s">
        <v>242</v>
      </c>
      <c r="AH76" s="1194" t="str">
        <f>IF($E$76=0,"",$E$76)</f>
        <v>Плата за услуги по поддержанию резервной тепловой мощности при отсутствии потребления тепловой энергии</v>
      </c>
      <c r="AI76" s="1194" t="str">
        <f>IF($G$76=0,"",$G$76)</f>
        <v/>
      </c>
      <c r="AJ76" s="1194" t="str">
        <f>IF($J$76=0,"",$J$76)</f>
        <v/>
      </c>
      <c r="AK76" s="1194" t="str">
        <f>IF($K$76="нет","без дифференциации",IF($N$76=0,"",$N$76))</f>
        <v/>
      </c>
      <c r="AL76" s="1194" t="str">
        <f>IF($O$76="нет","без дифференциации",IF($R$76=0,"",$R$76))</f>
        <v/>
      </c>
      <c r="AM76" s="1194" t="str">
        <f>IF($S$76="нет","без дифференциации",IF($V$76=0,"",$V$76))</f>
        <v/>
      </c>
      <c r="AN76" s="1698">
        <f>$I$76</f>
        <v>0</v>
      </c>
      <c r="AO76" s="1194" t="str">
        <f>$I$76&amp;"."&amp;$M$76</f>
        <v>.</v>
      </c>
      <c r="AP76" s="1186" t="str">
        <f>$I$76&amp;"."&amp;$M$76&amp;"."&amp;$Q$76</f>
        <v>..</v>
      </c>
      <c r="AQ76" s="1186" t="str">
        <f>$I$76&amp;"."&amp;$M$76&amp;"."&amp;$Q$76&amp;"."&amp;$U$76</f>
        <v>...</v>
      </c>
      <c r="AR76" s="1235">
        <v>0</v>
      </c>
    </row>
    <row r="77" spans="1:44" s="1778" customFormat="1" ht="17.25" customHeight="1">
      <c r="A77" s="259"/>
      <c r="C77" s="258"/>
      <c r="D77" s="2800"/>
      <c r="E77" s="2803"/>
      <c r="F77" s="2794"/>
      <c r="G77" s="2803"/>
      <c r="H77" s="2783"/>
      <c r="I77" s="2785"/>
      <c r="J77" s="2787"/>
      <c r="K77" s="2779"/>
      <c r="L77" s="2779"/>
      <c r="M77" s="2779"/>
      <c r="N77" s="2790"/>
      <c r="O77" s="2779"/>
      <c r="P77" s="2779"/>
      <c r="Q77" s="2779"/>
      <c r="R77" s="2777"/>
      <c r="S77" s="2779"/>
      <c r="T77" s="1224"/>
      <c r="U77" s="1224"/>
      <c r="V77" s="1224"/>
      <c r="W77" s="1225"/>
      <c r="X77" s="1186"/>
      <c r="Y77" s="1186"/>
      <c r="Z77" s="1186"/>
      <c r="AA77" s="1186"/>
      <c r="AB77" s="1186"/>
      <c r="AC77" s="1186"/>
      <c r="AD77" s="1186"/>
      <c r="AE77" s="1186"/>
      <c r="AF77" s="1186"/>
      <c r="AG77" s="1186"/>
      <c r="AH77" s="1186"/>
      <c r="AI77" s="1186"/>
      <c r="AJ77" s="1186"/>
      <c r="AK77" s="1186"/>
      <c r="AL77" s="1186"/>
      <c r="AM77" s="1186"/>
      <c r="AN77" s="1186"/>
      <c r="AO77" s="1186"/>
      <c r="AP77" s="1186"/>
      <c r="AQ77" s="1186"/>
      <c r="AR77" s="1235">
        <v>0</v>
      </c>
    </row>
    <row r="78" spans="1:44" s="1778" customFormat="1" ht="17.25" customHeight="1">
      <c r="A78" s="259"/>
      <c r="C78" s="258"/>
      <c r="D78" s="2800"/>
      <c r="E78" s="2803"/>
      <c r="F78" s="2794"/>
      <c r="G78" s="2803"/>
      <c r="H78" s="2783"/>
      <c r="I78" s="2785"/>
      <c r="J78" s="2788"/>
      <c r="K78" s="2779"/>
      <c r="L78" s="2779"/>
      <c r="M78" s="2779"/>
      <c r="N78" s="2777"/>
      <c r="O78" s="2779"/>
      <c r="P78" s="1345"/>
      <c r="Q78" s="1224"/>
      <c r="R78" s="1224"/>
      <c r="S78" s="267"/>
      <c r="T78" s="267"/>
      <c r="U78" s="267"/>
      <c r="V78" s="267"/>
      <c r="W78" s="1225"/>
      <c r="X78" s="1186"/>
      <c r="Y78" s="1186"/>
      <c r="Z78" s="1186"/>
      <c r="AA78" s="1186"/>
      <c r="AB78" s="1186"/>
      <c r="AC78" s="1186"/>
      <c r="AD78" s="1186"/>
      <c r="AE78" s="1186"/>
      <c r="AF78" s="1186"/>
      <c r="AG78" s="1186"/>
      <c r="AH78" s="1186"/>
      <c r="AI78" s="1186"/>
      <c r="AJ78" s="1186"/>
      <c r="AK78" s="1186"/>
      <c r="AL78" s="1186"/>
      <c r="AM78" s="1186"/>
      <c r="AN78" s="1186"/>
      <c r="AO78" s="1186"/>
      <c r="AP78" s="1186"/>
      <c r="AQ78" s="1186"/>
      <c r="AR78" s="1235">
        <v>0</v>
      </c>
    </row>
    <row r="79" spans="1:44" s="1778" customFormat="1" ht="17.25" customHeight="1">
      <c r="A79" s="259"/>
      <c r="C79" s="147"/>
      <c r="D79" s="2800"/>
      <c r="E79" s="2803"/>
      <c r="F79" s="2794"/>
      <c r="G79" s="2803"/>
      <c r="H79" s="2783"/>
      <c r="I79" s="2785"/>
      <c r="J79" s="2788"/>
      <c r="K79" s="2779"/>
      <c r="L79" s="1224"/>
      <c r="M79" s="1224"/>
      <c r="N79" s="1224"/>
      <c r="O79" s="1224"/>
      <c r="P79" s="1224"/>
      <c r="Q79" s="1224"/>
      <c r="R79" s="1224"/>
      <c r="S79" s="267"/>
      <c r="T79" s="267"/>
      <c r="U79" s="267"/>
      <c r="V79" s="267"/>
      <c r="W79" s="1225"/>
      <c r="Y79" s="1194"/>
      <c r="Z79" s="1194"/>
      <c r="AA79" s="1194"/>
      <c r="AB79" s="1194"/>
      <c r="AC79" s="1194"/>
      <c r="AD79" s="1194"/>
      <c r="AE79" s="1194"/>
      <c r="AF79" s="1194"/>
      <c r="AG79" s="1194"/>
      <c r="AH79" s="1194"/>
      <c r="AI79" s="1194"/>
      <c r="AJ79" s="1194"/>
      <c r="AK79" s="1194"/>
      <c r="AL79" s="1194"/>
      <c r="AM79" s="1194"/>
      <c r="AN79" s="1194"/>
      <c r="AO79" s="1194"/>
      <c r="AP79" s="1194"/>
      <c r="AQ79" s="1194"/>
      <c r="AR79" s="1253">
        <v>0</v>
      </c>
    </row>
    <row r="80" spans="1:44" s="1778" customFormat="1" ht="17.25" customHeight="1">
      <c r="A80" s="259"/>
      <c r="C80" s="258"/>
      <c r="D80" s="2801"/>
      <c r="E80" s="2804"/>
      <c r="F80" s="2795"/>
      <c r="G80" s="2804"/>
      <c r="H80" s="1226"/>
      <c r="I80" s="1227"/>
      <c r="J80" s="1227"/>
      <c r="K80" s="1227"/>
      <c r="L80" s="1227"/>
      <c r="M80" s="1227"/>
      <c r="N80" s="1227"/>
      <c r="O80" s="1227"/>
      <c r="P80" s="1227"/>
      <c r="Q80" s="1227"/>
      <c r="R80" s="1227"/>
      <c r="S80" s="1228"/>
      <c r="T80" s="1228"/>
      <c r="U80" s="1228"/>
      <c r="V80" s="1228"/>
      <c r="W80" s="1229"/>
      <c r="X80" s="1186"/>
      <c r="Y80" s="1186"/>
      <c r="Z80" s="1186"/>
      <c r="AA80" s="1186"/>
      <c r="AB80" s="1186"/>
      <c r="AC80" s="1186"/>
      <c r="AD80" s="1186"/>
      <c r="AE80" s="1186"/>
      <c r="AF80" s="1186"/>
      <c r="AG80" s="1186"/>
      <c r="AH80" s="1186"/>
      <c r="AI80" s="1186"/>
      <c r="AJ80" s="1186"/>
      <c r="AK80" s="1186"/>
      <c r="AL80" s="1186"/>
      <c r="AM80" s="1186"/>
      <c r="AN80" s="1186"/>
      <c r="AO80" s="1186"/>
      <c r="AP80" s="1186"/>
      <c r="AQ80" s="1186"/>
      <c r="AR80" s="1235">
        <v>0</v>
      </c>
    </row>
    <row r="81" spans="1:44" s="1778" customFormat="1" ht="17.25" customHeight="1">
      <c r="A81" s="259"/>
      <c r="C81" s="147"/>
      <c r="D81" s="2791">
        <v>8</v>
      </c>
      <c r="E81" s="2780" t="s">
        <v>243</v>
      </c>
      <c r="F81" s="2793" t="s">
        <v>19</v>
      </c>
      <c r="G81" s="2780"/>
      <c r="H81" s="2782"/>
      <c r="I81" s="2784"/>
      <c r="J81" s="2786"/>
      <c r="K81" s="2778"/>
      <c r="L81" s="2778"/>
      <c r="M81" s="2778"/>
      <c r="N81" s="2789"/>
      <c r="O81" s="2778"/>
      <c r="P81" s="2778"/>
      <c r="Q81" s="2778"/>
      <c r="R81" s="2776"/>
      <c r="S81" s="2778"/>
      <c r="T81" s="1397"/>
      <c r="U81" s="1397"/>
      <c r="V81" s="1399"/>
      <c r="W81" s="1223"/>
      <c r="X81" s="1194"/>
      <c r="Y81" s="1194"/>
      <c r="Z81" s="1194"/>
      <c r="AA81" s="1194"/>
      <c r="AB81" s="1194"/>
      <c r="AC81" s="1194" t="s">
        <v>244</v>
      </c>
      <c r="AD81" s="1194" t="s">
        <v>245</v>
      </c>
      <c r="AE81" s="1194" t="s">
        <v>246</v>
      </c>
      <c r="AF81" s="1194" t="s">
        <v>247</v>
      </c>
      <c r="AG81" s="1194" t="s">
        <v>248</v>
      </c>
      <c r="AH81" s="1194" t="str">
        <f>IF($E$81=0,"",$E$81)</f>
        <v>Плата за подключение (технологическое присоединение) к системе теплоснабжения</v>
      </c>
      <c r="AI81" s="1194" t="str">
        <f>IF($G$81=0,"",$G$81)</f>
        <v/>
      </c>
      <c r="AJ81" s="1194" t="str">
        <f>IF($J$81=0,"",$J$81)</f>
        <v/>
      </c>
      <c r="AK81" s="1194" t="str">
        <f>IF($K$81="нет","без дифференциации",IF($N$81=0,"",$N$81))</f>
        <v/>
      </c>
      <c r="AL81" s="1194" t="str">
        <f>IF($O$81="нет","без дифференциации",IF($R$81=0,"",$R$81))</f>
        <v/>
      </c>
      <c r="AM81" s="1194" t="str">
        <f>IF($S$81="нет","без дифференциации",IF($V$81=0,"",$V$81))</f>
        <v/>
      </c>
      <c r="AN81" s="1698">
        <f>$I$81</f>
        <v>0</v>
      </c>
      <c r="AO81" s="1194" t="str">
        <f>$I$81&amp;"."&amp;$M$81</f>
        <v>.</v>
      </c>
      <c r="AP81" s="1186" t="str">
        <f>$I$81&amp;"."&amp;$M$81&amp;"."&amp;$Q$81</f>
        <v>..</v>
      </c>
      <c r="AQ81" s="1186" t="str">
        <f>$I$81&amp;"."&amp;$M$81&amp;"."&amp;$Q$81&amp;"."&amp;$U$81</f>
        <v>...</v>
      </c>
      <c r="AR81" s="1235">
        <v>0</v>
      </c>
    </row>
    <row r="82" spans="1:44" s="1778" customFormat="1" ht="17.25" customHeight="1">
      <c r="A82" s="259"/>
      <c r="C82" s="258"/>
      <c r="D82" s="2791"/>
      <c r="E82" s="2780"/>
      <c r="F82" s="2794"/>
      <c r="G82" s="2780"/>
      <c r="H82" s="2783"/>
      <c r="I82" s="2785"/>
      <c r="J82" s="2787"/>
      <c r="K82" s="2779"/>
      <c r="L82" s="2779"/>
      <c r="M82" s="2779"/>
      <c r="N82" s="2790"/>
      <c r="O82" s="2779"/>
      <c r="P82" s="2779"/>
      <c r="Q82" s="2779"/>
      <c r="R82" s="2777"/>
      <c r="S82" s="2779"/>
      <c r="T82" s="1224"/>
      <c r="U82" s="1224"/>
      <c r="V82" s="1224"/>
      <c r="W82" s="1225"/>
      <c r="X82" s="1186"/>
      <c r="Y82" s="1186"/>
      <c r="Z82" s="1186"/>
      <c r="AA82" s="1186"/>
      <c r="AB82" s="1186"/>
      <c r="AC82" s="1186"/>
      <c r="AD82" s="1186"/>
      <c r="AE82" s="1186"/>
      <c r="AF82" s="1186"/>
      <c r="AG82" s="1186"/>
      <c r="AH82" s="1186"/>
      <c r="AI82" s="1186"/>
      <c r="AJ82" s="1186"/>
      <c r="AK82" s="1186"/>
      <c r="AL82" s="1186"/>
      <c r="AM82" s="1186"/>
      <c r="AN82" s="1186"/>
      <c r="AO82" s="1186"/>
      <c r="AP82" s="1186"/>
      <c r="AQ82" s="1186"/>
      <c r="AR82" s="1235">
        <v>0</v>
      </c>
    </row>
    <row r="83" spans="1:44" s="1778" customFormat="1" ht="17.25" customHeight="1">
      <c r="A83" s="259"/>
      <c r="C83" s="258"/>
      <c r="D83" s="2792"/>
      <c r="E83" s="2781"/>
      <c r="F83" s="2794"/>
      <c r="G83" s="2781"/>
      <c r="H83" s="2783"/>
      <c r="I83" s="2785"/>
      <c r="J83" s="2788"/>
      <c r="K83" s="2779"/>
      <c r="L83" s="2779"/>
      <c r="M83" s="2779"/>
      <c r="N83" s="2777"/>
      <c r="O83" s="2779"/>
      <c r="P83" s="1398"/>
      <c r="Q83" s="1224"/>
      <c r="R83" s="1224"/>
      <c r="S83" s="267"/>
      <c r="T83" s="267"/>
      <c r="U83" s="267"/>
      <c r="V83" s="267"/>
      <c r="W83" s="1225"/>
      <c r="X83" s="1186"/>
      <c r="Y83" s="1186"/>
      <c r="Z83" s="1186"/>
      <c r="AA83" s="1186"/>
      <c r="AB83" s="1186"/>
      <c r="AC83" s="1186"/>
      <c r="AD83" s="1186"/>
      <c r="AE83" s="1186"/>
      <c r="AF83" s="1186"/>
      <c r="AG83" s="1186"/>
      <c r="AH83" s="1186"/>
      <c r="AI83" s="1186"/>
      <c r="AJ83" s="1186"/>
      <c r="AK83" s="1186"/>
      <c r="AL83" s="1186"/>
      <c r="AM83" s="1186"/>
      <c r="AN83" s="1186"/>
      <c r="AO83" s="1186"/>
      <c r="AP83" s="1186"/>
      <c r="AQ83" s="1186"/>
      <c r="AR83" s="1235">
        <v>0</v>
      </c>
    </row>
    <row r="84" spans="1:44" s="1778" customFormat="1" ht="17.25" customHeight="1">
      <c r="A84" s="259"/>
      <c r="C84" s="147"/>
      <c r="D84" s="2792"/>
      <c r="E84" s="2781"/>
      <c r="F84" s="2794"/>
      <c r="G84" s="2781"/>
      <c r="H84" s="2783"/>
      <c r="I84" s="2785"/>
      <c r="J84" s="2788"/>
      <c r="K84" s="2779"/>
      <c r="L84" s="1224"/>
      <c r="M84" s="1224"/>
      <c r="N84" s="1224"/>
      <c r="O84" s="1224"/>
      <c r="P84" s="1224"/>
      <c r="Q84" s="1224"/>
      <c r="R84" s="1224"/>
      <c r="S84" s="267"/>
      <c r="T84" s="267"/>
      <c r="U84" s="267"/>
      <c r="V84" s="267"/>
      <c r="W84" s="1225"/>
      <c r="Y84" s="1194"/>
      <c r="Z84" s="1194"/>
      <c r="AA84" s="1194"/>
      <c r="AB84" s="1194"/>
      <c r="AC84" s="1194"/>
      <c r="AD84" s="1194"/>
      <c r="AE84" s="1194"/>
      <c r="AF84" s="1194"/>
      <c r="AG84" s="1194"/>
      <c r="AH84" s="1194"/>
      <c r="AI84" s="1194"/>
      <c r="AJ84" s="1194"/>
      <c r="AK84" s="1194"/>
      <c r="AL84" s="1194"/>
      <c r="AM84" s="1194"/>
      <c r="AN84" s="1194"/>
      <c r="AO84" s="1194"/>
      <c r="AP84" s="1194"/>
      <c r="AQ84" s="1194"/>
      <c r="AR84" s="1253">
        <v>0</v>
      </c>
    </row>
    <row r="85" spans="1:44" s="1778" customFormat="1" ht="17.25" customHeight="1">
      <c r="A85" s="259"/>
      <c r="C85" s="258"/>
      <c r="D85" s="2792"/>
      <c r="E85" s="2781"/>
      <c r="F85" s="2795"/>
      <c r="G85" s="2781"/>
      <c r="H85" s="1226"/>
      <c r="I85" s="1227"/>
      <c r="J85" s="1227"/>
      <c r="K85" s="1227"/>
      <c r="L85" s="1227"/>
      <c r="M85" s="1227"/>
      <c r="N85" s="1227"/>
      <c r="O85" s="1227"/>
      <c r="P85" s="1227"/>
      <c r="Q85" s="1227"/>
      <c r="R85" s="1227"/>
      <c r="S85" s="1228"/>
      <c r="T85" s="1228"/>
      <c r="U85" s="1228"/>
      <c r="V85" s="1228"/>
      <c r="W85" s="1229"/>
      <c r="X85" s="1186"/>
      <c r="Y85" s="1186"/>
      <c r="Z85" s="1186"/>
      <c r="AA85" s="1186"/>
      <c r="AB85" s="1186"/>
      <c r="AC85" s="1186"/>
      <c r="AD85" s="1186"/>
      <c r="AE85" s="1186"/>
      <c r="AF85" s="1186"/>
      <c r="AG85" s="1186"/>
      <c r="AH85" s="1186"/>
      <c r="AI85" s="1186"/>
      <c r="AJ85" s="1186"/>
      <c r="AK85" s="1186"/>
      <c r="AL85" s="1186"/>
      <c r="AM85" s="1186"/>
      <c r="AN85" s="1186"/>
      <c r="AO85" s="1186"/>
      <c r="AP85" s="1186"/>
      <c r="AQ85" s="1186"/>
      <c r="AR85" s="1235">
        <v>0</v>
      </c>
    </row>
    <row r="86" spans="1:44" s="1778" customFormat="1" ht="17.25" customHeight="1">
      <c r="A86" s="259"/>
      <c r="C86" s="147"/>
      <c r="D86" s="2791">
        <v>9</v>
      </c>
      <c r="E86" s="2780" t="s">
        <v>249</v>
      </c>
      <c r="F86" s="2793" t="s">
        <v>19</v>
      </c>
      <c r="G86" s="2780"/>
      <c r="H86" s="2782"/>
      <c r="I86" s="2784"/>
      <c r="J86" s="2786"/>
      <c r="K86" s="2778"/>
      <c r="L86" s="2778"/>
      <c r="M86" s="2778"/>
      <c r="N86" s="2789"/>
      <c r="O86" s="2778"/>
      <c r="P86" s="2778"/>
      <c r="Q86" s="2778"/>
      <c r="R86" s="2776"/>
      <c r="S86" s="2778"/>
      <c r="T86" s="1853"/>
      <c r="U86" s="1853"/>
      <c r="V86" s="1855"/>
      <c r="W86" s="1223"/>
      <c r="X86" s="1194"/>
      <c r="Y86" s="1194"/>
      <c r="Z86" s="1194"/>
      <c r="AA86" s="1194"/>
      <c r="AB86" s="1194"/>
      <c r="AC86" s="1194" t="s">
        <v>250</v>
      </c>
      <c r="AD86" s="1194" t="s">
        <v>251</v>
      </c>
      <c r="AE86" s="1194" t="s">
        <v>252</v>
      </c>
      <c r="AF86" s="1194" t="s">
        <v>253</v>
      </c>
      <c r="AG86" s="1194" t="s">
        <v>254</v>
      </c>
      <c r="AH86" s="1194" t="str">
        <f>IF($E$86=0,"",$E$86)</f>
        <v>Плата за подключение (технологическое присоединение) к системе теплоснабжения (индивидуальная)</v>
      </c>
      <c r="AI86" s="1194" t="str">
        <f>IF($G$86=0,"",$G$86)</f>
        <v/>
      </c>
      <c r="AJ86" s="1194" t="str">
        <f>IF($J$86=0,"",$J$86)</f>
        <v/>
      </c>
      <c r="AK86" s="1194" t="str">
        <f>IF($K$86="нет","без дифференциации",IF($N$86=0,"",$N$86))</f>
        <v/>
      </c>
      <c r="AL86" s="1194" t="str">
        <f>IF($O$86="нет","без дифференциации",IF($R$86=0,"",$R$86))</f>
        <v/>
      </c>
      <c r="AM86" s="1194" t="str">
        <f>IF($S$86="нет","без дифференциации",IF($V$86=0,"",$V$86))</f>
        <v/>
      </c>
      <c r="AN86" s="1698">
        <f>$I$86</f>
        <v>0</v>
      </c>
      <c r="AO86" s="1194" t="str">
        <f>$I$86&amp;"."&amp;$M$86</f>
        <v>.</v>
      </c>
      <c r="AP86" s="1193" t="str">
        <f>$I$86&amp;"."&amp;$M$86&amp;"."&amp;$Q$86</f>
        <v>..</v>
      </c>
      <c r="AQ86" s="1193" t="str">
        <f>$I$86&amp;"."&amp;$M$86&amp;"."&amp;$Q$86&amp;"."&amp;$U$86</f>
        <v>...</v>
      </c>
      <c r="AR86" s="1394">
        <v>0</v>
      </c>
    </row>
    <row r="87" spans="1:44" s="1778" customFormat="1" ht="17.25" customHeight="1">
      <c r="A87" s="259"/>
      <c r="C87" s="258"/>
      <c r="D87" s="2791"/>
      <c r="E87" s="2780"/>
      <c r="F87" s="2794"/>
      <c r="G87" s="2780"/>
      <c r="H87" s="2783"/>
      <c r="I87" s="2785"/>
      <c r="J87" s="2787"/>
      <c r="K87" s="2779"/>
      <c r="L87" s="2779"/>
      <c r="M87" s="2779"/>
      <c r="N87" s="2790"/>
      <c r="O87" s="2779"/>
      <c r="P87" s="2779"/>
      <c r="Q87" s="2779"/>
      <c r="R87" s="2777"/>
      <c r="S87" s="2779"/>
      <c r="T87" s="1856"/>
      <c r="U87" s="1856"/>
      <c r="V87" s="1856"/>
      <c r="W87" s="1857"/>
      <c r="X87" s="1193"/>
      <c r="Y87" s="1193"/>
      <c r="Z87" s="1193"/>
      <c r="AA87" s="1193"/>
      <c r="AB87" s="1193"/>
      <c r="AC87" s="1193"/>
      <c r="AD87" s="1193"/>
      <c r="AE87" s="1193"/>
      <c r="AF87" s="1193"/>
      <c r="AG87" s="1193"/>
      <c r="AH87" s="1193"/>
      <c r="AI87" s="1193"/>
      <c r="AJ87" s="1193"/>
      <c r="AK87" s="1193"/>
      <c r="AL87" s="1193"/>
      <c r="AM87" s="1193"/>
      <c r="AN87" s="1193"/>
      <c r="AO87" s="1193"/>
      <c r="AP87" s="1193"/>
      <c r="AQ87" s="1193"/>
      <c r="AR87" s="1394">
        <v>0</v>
      </c>
    </row>
    <row r="88" spans="1:44" s="1778" customFormat="1" ht="17.25" customHeight="1">
      <c r="A88" s="259"/>
      <c r="C88" s="258"/>
      <c r="D88" s="2792"/>
      <c r="E88" s="2781"/>
      <c r="F88" s="2794"/>
      <c r="G88" s="2781"/>
      <c r="H88" s="2783"/>
      <c r="I88" s="2785"/>
      <c r="J88" s="2788"/>
      <c r="K88" s="2779"/>
      <c r="L88" s="2779"/>
      <c r="M88" s="2779"/>
      <c r="N88" s="2777"/>
      <c r="O88" s="2779"/>
      <c r="P88" s="1854"/>
      <c r="Q88" s="1856"/>
      <c r="R88" s="1856"/>
      <c r="S88" s="267"/>
      <c r="T88" s="267"/>
      <c r="U88" s="267"/>
      <c r="V88" s="267"/>
      <c r="W88" s="1857"/>
      <c r="X88" s="1193"/>
      <c r="Y88" s="1193"/>
      <c r="Z88" s="1193"/>
      <c r="AA88" s="1193"/>
      <c r="AB88" s="1193"/>
      <c r="AC88" s="1193"/>
      <c r="AD88" s="1193"/>
      <c r="AE88" s="1193"/>
      <c r="AF88" s="1193"/>
      <c r="AG88" s="1193"/>
      <c r="AH88" s="1193"/>
      <c r="AI88" s="1193"/>
      <c r="AJ88" s="1193"/>
      <c r="AK88" s="1193"/>
      <c r="AL88" s="1193"/>
      <c r="AM88" s="1193"/>
      <c r="AN88" s="1193"/>
      <c r="AO88" s="1193"/>
      <c r="AP88" s="1193"/>
      <c r="AQ88" s="1193"/>
      <c r="AR88" s="1394">
        <v>0</v>
      </c>
    </row>
    <row r="89" spans="1:44" s="1778" customFormat="1" ht="17.25" customHeight="1">
      <c r="A89" s="259"/>
      <c r="C89" s="147"/>
      <c r="D89" s="2792"/>
      <c r="E89" s="2781"/>
      <c r="F89" s="2794"/>
      <c r="G89" s="2781"/>
      <c r="H89" s="2783"/>
      <c r="I89" s="2785"/>
      <c r="J89" s="2788"/>
      <c r="K89" s="2779"/>
      <c r="L89" s="1856"/>
      <c r="M89" s="1856"/>
      <c r="N89" s="1856"/>
      <c r="O89" s="1856"/>
      <c r="P89" s="1856"/>
      <c r="Q89" s="1856"/>
      <c r="R89" s="1856"/>
      <c r="S89" s="267"/>
      <c r="T89" s="267"/>
      <c r="U89" s="267"/>
      <c r="V89" s="267"/>
      <c r="W89" s="1857"/>
      <c r="Y89" s="1194"/>
      <c r="Z89" s="1194"/>
      <c r="AA89" s="1194"/>
      <c r="AB89" s="1194"/>
      <c r="AC89" s="1194"/>
      <c r="AD89" s="1194"/>
      <c r="AE89" s="1194"/>
      <c r="AF89" s="1194"/>
      <c r="AG89" s="1194"/>
      <c r="AH89" s="1194"/>
      <c r="AI89" s="1194"/>
      <c r="AJ89" s="1194"/>
      <c r="AK89" s="1194"/>
      <c r="AL89" s="1194"/>
      <c r="AM89" s="1194"/>
      <c r="AN89" s="1194"/>
      <c r="AO89" s="1194"/>
      <c r="AP89" s="1194"/>
      <c r="AQ89" s="1194"/>
      <c r="AR89" s="1394">
        <v>0</v>
      </c>
    </row>
    <row r="90" spans="1:44" s="1778" customFormat="1" ht="17.25" customHeight="1">
      <c r="A90" s="259"/>
      <c r="C90" s="258"/>
      <c r="D90" s="2792"/>
      <c r="E90" s="2781"/>
      <c r="F90" s="2795"/>
      <c r="G90" s="2781"/>
      <c r="H90" s="1226"/>
      <c r="I90" s="1858"/>
      <c r="J90" s="1858"/>
      <c r="K90" s="1858"/>
      <c r="L90" s="1858"/>
      <c r="M90" s="1858"/>
      <c r="N90" s="1858"/>
      <c r="O90" s="1858"/>
      <c r="P90" s="1858"/>
      <c r="Q90" s="1858"/>
      <c r="R90" s="1858"/>
      <c r="S90" s="1228"/>
      <c r="T90" s="1228"/>
      <c r="U90" s="1228"/>
      <c r="V90" s="1228"/>
      <c r="W90" s="1859"/>
      <c r="X90" s="1193"/>
      <c r="Y90" s="1193"/>
      <c r="Z90" s="1193"/>
      <c r="AA90" s="1193"/>
      <c r="AB90" s="1193"/>
      <c r="AC90" s="1193"/>
      <c r="AD90" s="1193"/>
      <c r="AE90" s="1193"/>
      <c r="AF90" s="1193"/>
      <c r="AG90" s="1193"/>
      <c r="AH90" s="1193"/>
      <c r="AI90" s="1193"/>
      <c r="AJ90" s="1193"/>
      <c r="AK90" s="1193"/>
      <c r="AL90" s="1193"/>
      <c r="AM90" s="1193"/>
      <c r="AN90" s="1193"/>
      <c r="AO90" s="1193"/>
      <c r="AP90" s="1193"/>
      <c r="AQ90" s="1193"/>
      <c r="AR90" s="1394">
        <v>0</v>
      </c>
    </row>
    <row r="91" spans="1:44" s="1778" customFormat="1" ht="17.25" hidden="1" customHeight="1">
      <c r="A91" s="259"/>
      <c r="C91" s="147"/>
      <c r="D91" s="2791">
        <v>10</v>
      </c>
      <c r="E91" s="2780" t="s">
        <v>255</v>
      </c>
      <c r="F91" s="2793" t="s">
        <v>19</v>
      </c>
      <c r="G91" s="2780"/>
      <c r="H91" s="2782"/>
      <c r="I91" s="2784"/>
      <c r="J91" s="2786"/>
      <c r="K91" s="2778"/>
      <c r="L91" s="2778"/>
      <c r="M91" s="2778"/>
      <c r="N91" s="2789"/>
      <c r="O91" s="2778"/>
      <c r="P91" s="2778"/>
      <c r="Q91" s="2778"/>
      <c r="R91" s="2776"/>
      <c r="S91" s="2778"/>
      <c r="T91" s="1853"/>
      <c r="U91" s="1853"/>
      <c r="V91" s="1855"/>
      <c r="W91" s="1223"/>
      <c r="X91" s="1194"/>
      <c r="Y91" s="1194"/>
      <c r="Z91" s="1194"/>
      <c r="AA91" s="1194"/>
      <c r="AB91" s="1194"/>
      <c r="AC91" s="1194" t="s">
        <v>256</v>
      </c>
      <c r="AD91" s="1194" t="s">
        <v>257</v>
      </c>
      <c r="AE91" s="1194" t="s">
        <v>258</v>
      </c>
      <c r="AF91" s="1194" t="s">
        <v>259</v>
      </c>
      <c r="AG91" s="1194" t="s">
        <v>260</v>
      </c>
      <c r="AH91" s="1194" t="str">
        <f>IF($E$91=0,"",$E$91)</f>
        <v>Предельный уровень цены на тепловую энергию (мощность), поставляемую теплоснабжающими организациями потребителям</v>
      </c>
      <c r="AI91" s="1194" t="str">
        <f>IF($G$91=0,"",$G$91)</f>
        <v/>
      </c>
      <c r="AJ91" s="1194" t="str">
        <f>IF($J$91=0,"",$J$91)</f>
        <v/>
      </c>
      <c r="AK91" s="1194" t="str">
        <f>IF($K$91="нет","без дифференциации",IF($N$91=0,"",$N$91))</f>
        <v/>
      </c>
      <c r="AL91" s="1194" t="str">
        <f>IF($O$91="нет","без дифференциации",IF($R$91=0,"",$R$91))</f>
        <v/>
      </c>
      <c r="AM91" s="1194" t="str">
        <f>IF($S$91="нет","без дифференциации",IF($V$91=0,"",$V$91))</f>
        <v/>
      </c>
      <c r="AN91" s="1698">
        <f>$I$91</f>
        <v>0</v>
      </c>
      <c r="AO91" s="1194" t="str">
        <f>$I$91&amp;"."&amp;$M$91</f>
        <v>.</v>
      </c>
      <c r="AP91" s="1193" t="str">
        <f>$I$91&amp;"."&amp;$M$91&amp;"."&amp;$Q$91</f>
        <v>..</v>
      </c>
      <c r="AQ91" s="1193" t="str">
        <f>$I$91&amp;"."&amp;$M$91&amp;"."&amp;$Q$91&amp;"."&amp;$U$91</f>
        <v>...</v>
      </c>
      <c r="AR91" s="1394">
        <v>0</v>
      </c>
    </row>
    <row r="92" spans="1:44" s="1778" customFormat="1" ht="17.25" hidden="1" customHeight="1">
      <c r="A92" s="259"/>
      <c r="C92" s="258"/>
      <c r="D92" s="2791"/>
      <c r="E92" s="2780"/>
      <c r="F92" s="2794"/>
      <c r="G92" s="2780"/>
      <c r="H92" s="2783"/>
      <c r="I92" s="2785"/>
      <c r="J92" s="2787"/>
      <c r="K92" s="2779"/>
      <c r="L92" s="2779"/>
      <c r="M92" s="2779"/>
      <c r="N92" s="2790"/>
      <c r="O92" s="2779"/>
      <c r="P92" s="2779"/>
      <c r="Q92" s="2779"/>
      <c r="R92" s="2777"/>
      <c r="S92" s="2779"/>
      <c r="T92" s="1856"/>
      <c r="U92" s="1856"/>
      <c r="V92" s="1856"/>
      <c r="W92" s="1857"/>
      <c r="X92" s="1193"/>
      <c r="Y92" s="1193"/>
      <c r="Z92" s="1193"/>
      <c r="AA92" s="1193"/>
      <c r="AB92" s="1193"/>
      <c r="AC92" s="1193"/>
      <c r="AD92" s="1193"/>
      <c r="AE92" s="1193"/>
      <c r="AF92" s="1193"/>
      <c r="AG92" s="1193"/>
      <c r="AH92" s="1193"/>
      <c r="AI92" s="1193"/>
      <c r="AJ92" s="1193"/>
      <c r="AK92" s="1193"/>
      <c r="AL92" s="1193"/>
      <c r="AM92" s="1193"/>
      <c r="AN92" s="1193"/>
      <c r="AO92" s="1193"/>
      <c r="AP92" s="1193"/>
      <c r="AQ92" s="1193"/>
      <c r="AR92" s="1394">
        <v>0</v>
      </c>
    </row>
    <row r="93" spans="1:44" s="1778" customFormat="1" ht="17.25" hidden="1" customHeight="1">
      <c r="A93" s="259"/>
      <c r="C93" s="258"/>
      <c r="D93" s="2792"/>
      <c r="E93" s="2781"/>
      <c r="F93" s="2794"/>
      <c r="G93" s="2781"/>
      <c r="H93" s="2783"/>
      <c r="I93" s="2785"/>
      <c r="J93" s="2788"/>
      <c r="K93" s="2779"/>
      <c r="L93" s="2779"/>
      <c r="M93" s="2779"/>
      <c r="N93" s="2777"/>
      <c r="O93" s="2779"/>
      <c r="P93" s="1854"/>
      <c r="Q93" s="1856"/>
      <c r="R93" s="1856"/>
      <c r="S93" s="267"/>
      <c r="T93" s="267"/>
      <c r="U93" s="267"/>
      <c r="V93" s="267"/>
      <c r="W93" s="1857"/>
      <c r="X93" s="1193"/>
      <c r="Y93" s="1193"/>
      <c r="Z93" s="1193"/>
      <c r="AA93" s="1193"/>
      <c r="AB93" s="1193"/>
      <c r="AC93" s="1193"/>
      <c r="AD93" s="1193"/>
      <c r="AE93" s="1193"/>
      <c r="AF93" s="1193"/>
      <c r="AG93" s="1193"/>
      <c r="AH93" s="1193"/>
      <c r="AI93" s="1193"/>
      <c r="AJ93" s="1193"/>
      <c r="AK93" s="1193"/>
      <c r="AL93" s="1193"/>
      <c r="AM93" s="1193"/>
      <c r="AN93" s="1193"/>
      <c r="AO93" s="1193"/>
      <c r="AP93" s="1193"/>
      <c r="AQ93" s="1193"/>
      <c r="AR93" s="1394">
        <v>0</v>
      </c>
    </row>
    <row r="94" spans="1:44" s="1778" customFormat="1" ht="17.25" hidden="1" customHeight="1">
      <c r="A94" s="259"/>
      <c r="C94" s="147"/>
      <c r="D94" s="2792"/>
      <c r="E94" s="2781"/>
      <c r="F94" s="2794"/>
      <c r="G94" s="2781"/>
      <c r="H94" s="2783"/>
      <c r="I94" s="2785"/>
      <c r="J94" s="2788"/>
      <c r="K94" s="2779"/>
      <c r="L94" s="1856"/>
      <c r="M94" s="1856"/>
      <c r="N94" s="1856"/>
      <c r="O94" s="1856"/>
      <c r="P94" s="1856"/>
      <c r="Q94" s="1856"/>
      <c r="R94" s="1856"/>
      <c r="S94" s="267"/>
      <c r="T94" s="267"/>
      <c r="U94" s="267"/>
      <c r="V94" s="267"/>
      <c r="W94" s="1857"/>
      <c r="Y94" s="1194"/>
      <c r="Z94" s="1194"/>
      <c r="AA94" s="1194"/>
      <c r="AB94" s="1194"/>
      <c r="AC94" s="1194"/>
      <c r="AD94" s="1194"/>
      <c r="AE94" s="1194"/>
      <c r="AF94" s="1194"/>
      <c r="AG94" s="1194"/>
      <c r="AH94" s="1194"/>
      <c r="AI94" s="1194"/>
      <c r="AJ94" s="1194"/>
      <c r="AK94" s="1194"/>
      <c r="AL94" s="1194"/>
      <c r="AM94" s="1194"/>
      <c r="AN94" s="1194"/>
      <c r="AO94" s="1194"/>
      <c r="AP94" s="1194"/>
      <c r="AQ94" s="1194"/>
      <c r="AR94" s="1394">
        <v>0</v>
      </c>
    </row>
    <row r="95" spans="1:44" s="1778" customFormat="1" ht="17.25" hidden="1" customHeight="1">
      <c r="A95" s="259"/>
      <c r="C95" s="258"/>
      <c r="D95" s="2792"/>
      <c r="E95" s="2781"/>
      <c r="F95" s="2795"/>
      <c r="G95" s="2781"/>
      <c r="H95" s="1226"/>
      <c r="I95" s="1858"/>
      <c r="J95" s="1858"/>
      <c r="K95" s="1858"/>
      <c r="L95" s="1858"/>
      <c r="M95" s="1858"/>
      <c r="N95" s="1858"/>
      <c r="O95" s="1858"/>
      <c r="P95" s="1858"/>
      <c r="Q95" s="1858"/>
      <c r="R95" s="1858"/>
      <c r="S95" s="1228"/>
      <c r="T95" s="1228"/>
      <c r="U95" s="1228"/>
      <c r="V95" s="1228"/>
      <c r="W95" s="1859"/>
      <c r="X95" s="1193"/>
      <c r="Y95" s="1193"/>
      <c r="Z95" s="1193"/>
      <c r="AA95" s="1193"/>
      <c r="AB95" s="1193"/>
      <c r="AC95" s="1193"/>
      <c r="AD95" s="1193"/>
      <c r="AE95" s="1193"/>
      <c r="AF95" s="1193"/>
      <c r="AG95" s="1193"/>
      <c r="AH95" s="1193"/>
      <c r="AI95" s="1193"/>
      <c r="AJ95" s="1193"/>
      <c r="AK95" s="1193"/>
      <c r="AL95" s="1193"/>
      <c r="AM95" s="1193"/>
      <c r="AN95" s="1193"/>
      <c r="AO95" s="1193"/>
      <c r="AP95" s="1193"/>
      <c r="AQ95" s="1193"/>
      <c r="AR95" s="1394">
        <v>0</v>
      </c>
    </row>
    <row r="96" spans="1:44" ht="11.25" customHeight="1">
      <c r="AR96" s="44">
        <v>0</v>
      </c>
    </row>
    <row r="97" spans="1:44" ht="11.25" customHeight="1">
      <c r="E97" s="2798" t="s">
        <v>261</v>
      </c>
      <c r="F97" s="2798"/>
      <c r="G97" s="2798"/>
      <c r="H97" s="2798"/>
      <c r="I97" s="2798"/>
      <c r="J97" s="2798"/>
      <c r="K97" s="2798"/>
      <c r="L97" s="2798"/>
      <c r="M97" s="2798"/>
      <c r="N97" s="2798"/>
      <c r="O97" s="2798"/>
      <c r="P97" s="2798"/>
      <c r="Q97" s="2798"/>
      <c r="R97" s="2798"/>
      <c r="S97" s="2798"/>
      <c r="T97" s="2798"/>
      <c r="U97" s="2798"/>
      <c r="V97" s="2798"/>
      <c r="W97" s="2798"/>
      <c r="AR97" s="44">
        <v>0</v>
      </c>
    </row>
    <row r="98" spans="1:44" ht="36.75" customHeight="1">
      <c r="E98" s="2796" t="s">
        <v>262</v>
      </c>
      <c r="F98" s="2796"/>
      <c r="G98" s="2797"/>
      <c r="H98" s="2797"/>
      <c r="I98" s="2797"/>
      <c r="J98" s="2797"/>
      <c r="K98" s="2797"/>
      <c r="L98" s="2797"/>
      <c r="M98" s="2797"/>
      <c r="N98" s="2797"/>
      <c r="O98" s="2797"/>
      <c r="P98" s="2797"/>
      <c r="Q98" s="2797"/>
      <c r="R98" s="2797"/>
      <c r="S98" s="2797"/>
      <c r="T98" s="2797"/>
      <c r="U98" s="2797"/>
      <c r="V98" s="2797"/>
      <c r="W98" s="2797"/>
      <c r="AR98" s="44">
        <v>0</v>
      </c>
    </row>
    <row r="99" spans="1:44" ht="28.5" customHeight="1">
      <c r="E99" s="2796" t="s">
        <v>263</v>
      </c>
      <c r="F99" s="2796"/>
      <c r="G99" s="2797"/>
      <c r="H99" s="2797"/>
      <c r="I99" s="2797"/>
      <c r="J99" s="2797"/>
      <c r="K99" s="2797"/>
      <c r="L99" s="2797"/>
      <c r="M99" s="2797"/>
      <c r="N99" s="2797"/>
      <c r="O99" s="2797"/>
      <c r="P99" s="2797"/>
      <c r="Q99" s="2797"/>
      <c r="R99" s="2797"/>
      <c r="S99" s="2797"/>
      <c r="T99" s="2797"/>
      <c r="U99" s="2797"/>
      <c r="V99" s="2797"/>
      <c r="W99" s="2797"/>
      <c r="AR99" s="44">
        <v>0</v>
      </c>
    </row>
    <row r="100" spans="1:44" ht="27" customHeight="1">
      <c r="E100" s="2796" t="s">
        <v>264</v>
      </c>
      <c r="F100" s="2796"/>
      <c r="G100" s="2797"/>
      <c r="H100" s="2797"/>
      <c r="I100" s="2797"/>
      <c r="J100" s="2797"/>
      <c r="K100" s="2797"/>
      <c r="L100" s="2797"/>
      <c r="M100" s="2797"/>
      <c r="N100" s="2797"/>
      <c r="O100" s="2797"/>
      <c r="P100" s="2797"/>
      <c r="Q100" s="2797"/>
      <c r="R100" s="2797"/>
      <c r="S100" s="2797"/>
      <c r="T100" s="2797"/>
      <c r="U100" s="2797"/>
      <c r="V100" s="2797"/>
      <c r="W100" s="2797"/>
      <c r="AR100" s="44">
        <v>0</v>
      </c>
    </row>
    <row r="101" spans="1:44" ht="17.25" customHeight="1">
      <c r="E101" s="2796" t="s">
        <v>265</v>
      </c>
      <c r="F101" s="2796"/>
      <c r="G101" s="2797"/>
      <c r="H101" s="2797"/>
      <c r="I101" s="2797"/>
      <c r="J101" s="2797"/>
      <c r="K101" s="2797"/>
      <c r="L101" s="2797"/>
      <c r="M101" s="2797"/>
      <c r="N101" s="2797"/>
      <c r="O101" s="2797"/>
      <c r="P101" s="2797"/>
      <c r="Q101" s="2797"/>
      <c r="R101" s="2797"/>
      <c r="S101" s="2797"/>
      <c r="T101" s="2797"/>
      <c r="U101" s="2797"/>
      <c r="V101" s="2797"/>
      <c r="W101" s="2797"/>
      <c r="AR101" s="44">
        <v>0</v>
      </c>
    </row>
    <row r="102" spans="1:44" ht="15" customHeight="1">
      <c r="E102" s="278"/>
      <c r="F102" s="1212"/>
      <c r="G102" s="95"/>
      <c r="H102" s="95"/>
      <c r="I102" s="95"/>
      <c r="J102" s="95"/>
      <c r="K102" s="95"/>
      <c r="L102" s="95"/>
      <c r="M102" s="95"/>
      <c r="N102" s="95"/>
      <c r="O102" s="95"/>
      <c r="P102" s="95"/>
      <c r="Q102" s="95"/>
      <c r="R102" s="95"/>
      <c r="S102" s="95"/>
      <c r="T102" s="95"/>
      <c r="U102" s="95"/>
      <c r="V102" s="95"/>
      <c r="W102" s="95"/>
      <c r="AR102" s="44">
        <v>0</v>
      </c>
    </row>
    <row r="103" spans="1:44" ht="15" customHeight="1">
      <c r="E103" s="2798" t="s">
        <v>266</v>
      </c>
      <c r="F103" s="2798"/>
      <c r="G103" s="2798"/>
      <c r="H103" s="2798"/>
      <c r="I103" s="2798"/>
      <c r="J103" s="2798"/>
      <c r="K103" s="2798"/>
      <c r="L103" s="2798"/>
      <c r="M103" s="2798"/>
      <c r="N103" s="2798"/>
      <c r="O103" s="2798"/>
      <c r="P103" s="2798"/>
      <c r="Q103" s="2798"/>
      <c r="R103" s="2798"/>
      <c r="S103" s="2798"/>
      <c r="T103" s="2798"/>
      <c r="U103" s="2798"/>
      <c r="V103" s="2798"/>
      <c r="W103" s="2798"/>
      <c r="AR103" s="44">
        <v>0</v>
      </c>
    </row>
    <row r="104" spans="1:44" ht="17.25" customHeight="1">
      <c r="E104" s="2796" t="s">
        <v>267</v>
      </c>
      <c r="F104" s="2796"/>
      <c r="G104" s="2797"/>
      <c r="H104" s="2797"/>
      <c r="I104" s="2797"/>
      <c r="J104" s="2797"/>
      <c r="K104" s="2797"/>
      <c r="L104" s="2797"/>
      <c r="M104" s="2797"/>
      <c r="N104" s="2797"/>
      <c r="O104" s="2797"/>
      <c r="P104" s="2797"/>
      <c r="Q104" s="2797"/>
      <c r="R104" s="2797"/>
      <c r="S104" s="2797"/>
      <c r="T104" s="2797"/>
      <c r="U104" s="2797"/>
      <c r="V104" s="2797"/>
      <c r="W104" s="2797"/>
      <c r="AR104" s="44">
        <v>0</v>
      </c>
    </row>
    <row r="105" spans="1:44" ht="17.25" customHeight="1">
      <c r="E105" s="2796" t="s">
        <v>268</v>
      </c>
      <c r="F105" s="2796"/>
      <c r="G105" s="2797"/>
      <c r="H105" s="2797"/>
      <c r="I105" s="2797"/>
      <c r="J105" s="2797"/>
      <c r="K105" s="2797"/>
      <c r="L105" s="2797"/>
      <c r="M105" s="2797"/>
      <c r="N105" s="2797"/>
      <c r="O105" s="2797"/>
      <c r="P105" s="2797"/>
      <c r="Q105" s="2797"/>
      <c r="R105" s="2797"/>
      <c r="S105" s="2797"/>
      <c r="T105" s="2797"/>
      <c r="U105" s="2797"/>
      <c r="V105" s="2797"/>
      <c r="W105" s="2797"/>
      <c r="AR105" s="44">
        <v>0</v>
      </c>
    </row>
    <row r="106" spans="1:44" s="1778" customFormat="1" ht="11.25" hidden="1" customHeight="1">
      <c r="A106" s="215"/>
      <c r="B106" s="215"/>
      <c r="Y106" s="1186"/>
      <c r="Z106" s="1186"/>
      <c r="AA106" s="1186"/>
      <c r="AB106" s="1186"/>
      <c r="AC106" s="1186"/>
      <c r="AD106" s="1186"/>
      <c r="AE106" s="1186"/>
      <c r="AF106" s="1186"/>
      <c r="AG106" s="1186"/>
      <c r="AH106" s="1186"/>
      <c r="AI106" s="1186"/>
      <c r="AJ106" s="1186"/>
      <c r="AK106" s="1186"/>
      <c r="AL106" s="1186"/>
      <c r="AM106" s="1186"/>
      <c r="AN106" s="1186"/>
      <c r="AO106" s="1186"/>
      <c r="AP106" s="1186"/>
      <c r="AQ106" s="1186"/>
      <c r="AR106" s="1277">
        <v>0</v>
      </c>
    </row>
    <row r="107" spans="1:44" s="1778" customFormat="1" ht="17.25" hidden="1" customHeight="1">
      <c r="A107" s="259"/>
      <c r="C107" s="147"/>
      <c r="D107" s="2791">
        <v>1</v>
      </c>
      <c r="E107" s="2780" t="s">
        <v>269</v>
      </c>
      <c r="F107" s="2793" t="s">
        <v>19</v>
      </c>
      <c r="G107" s="2780"/>
      <c r="H107" s="2782"/>
      <c r="I107" s="2784"/>
      <c r="J107" s="2786"/>
      <c r="K107" s="2778"/>
      <c r="L107" s="2778"/>
      <c r="M107" s="2778"/>
      <c r="N107" s="2789"/>
      <c r="O107" s="2778"/>
      <c r="P107" s="2778"/>
      <c r="Q107" s="2778"/>
      <c r="R107" s="2776"/>
      <c r="S107" s="2778"/>
      <c r="T107" s="1397"/>
      <c r="U107" s="1397"/>
      <c r="V107" s="1399"/>
      <c r="W107" s="1223"/>
      <c r="Y107" s="1194"/>
      <c r="Z107" s="1194"/>
      <c r="AA107" s="1194"/>
      <c r="AB107" s="1194"/>
      <c r="AC107" s="1194" t="s">
        <v>270</v>
      </c>
      <c r="AD107" s="1194" t="s">
        <v>271</v>
      </c>
      <c r="AE107" s="1194" t="s">
        <v>272</v>
      </c>
      <c r="AF107" s="1194" t="s">
        <v>273</v>
      </c>
      <c r="AG107" s="1194"/>
      <c r="AH107" s="1194" t="str">
        <f>IF($E$107=0,"",$E$107)</f>
        <v>Тариф на питьевую воду (питьевое водоснабжение)</v>
      </c>
      <c r="AI107" s="1194" t="str">
        <f>IF($G$107=0,"",$G$107)</f>
        <v/>
      </c>
      <c r="AJ107" s="1194" t="str">
        <f>IF($J$107=0,"",$J$107)</f>
        <v/>
      </c>
      <c r="AK107" s="1194" t="str">
        <f>IF($K$107="нет","без дифференциации",IF($N$107=0,"",$N$107))</f>
        <v/>
      </c>
      <c r="AL107" s="1194" t="str">
        <f>IF($O$107="нет","без дифференциации",IF($R$107=0,"",$R$107))</f>
        <v/>
      </c>
      <c r="AM107" s="1194" t="str">
        <f>IF($S$107="нет","без дифференциации",IF($V$107=0,"",$V$107))</f>
        <v/>
      </c>
      <c r="AN107" s="1194">
        <f>$I$107</f>
        <v>0</v>
      </c>
      <c r="AO107" s="1194" t="str">
        <f>$I$107&amp;"."&amp;$M$107</f>
        <v>.</v>
      </c>
      <c r="AP107" s="1194" t="str">
        <f>$I$107&amp;"."&amp;$M$107&amp;"."&amp;$Q$107</f>
        <v>..</v>
      </c>
      <c r="AQ107" s="1194" t="str">
        <f>$I$107&amp;"."&amp;$M$107&amp;"."&amp;$Q$107&amp;"."&amp;$U$107</f>
        <v>...</v>
      </c>
      <c r="AR107" s="1277">
        <v>0</v>
      </c>
    </row>
    <row r="108" spans="1:44" s="1778" customFormat="1" ht="17.25" hidden="1" customHeight="1">
      <c r="A108" s="259"/>
      <c r="C108" s="258"/>
      <c r="D108" s="2791"/>
      <c r="E108" s="2780"/>
      <c r="F108" s="2794"/>
      <c r="G108" s="2780"/>
      <c r="H108" s="2783"/>
      <c r="I108" s="2785"/>
      <c r="J108" s="2787"/>
      <c r="K108" s="2779"/>
      <c r="L108" s="2779"/>
      <c r="M108" s="2779"/>
      <c r="N108" s="2790"/>
      <c r="O108" s="2779"/>
      <c r="P108" s="2779"/>
      <c r="Q108" s="2779"/>
      <c r="R108" s="2777"/>
      <c r="S108" s="2779"/>
      <c r="T108" s="1224"/>
      <c r="U108" s="1224"/>
      <c r="V108" s="1224"/>
      <c r="W108" s="1225"/>
      <c r="Y108" s="1186"/>
      <c r="Z108" s="1186"/>
      <c r="AA108" s="1186"/>
      <c r="AB108" s="1186"/>
      <c r="AC108" s="1186"/>
      <c r="AD108" s="1186"/>
      <c r="AE108" s="1186"/>
      <c r="AF108" s="1186"/>
      <c r="AG108" s="1186"/>
      <c r="AH108" s="1186"/>
      <c r="AI108" s="1186"/>
      <c r="AJ108" s="1186"/>
      <c r="AK108" s="1186"/>
      <c r="AL108" s="1186"/>
      <c r="AM108" s="1186"/>
      <c r="AN108" s="1186"/>
      <c r="AO108" s="1186"/>
      <c r="AP108" s="1186"/>
      <c r="AQ108" s="1186"/>
      <c r="AR108" s="1277">
        <v>0</v>
      </c>
    </row>
    <row r="109" spans="1:44" s="1778" customFormat="1" ht="17.25" hidden="1" customHeight="1">
      <c r="A109" s="259"/>
      <c r="C109" s="147"/>
      <c r="D109" s="2791"/>
      <c r="E109" s="2780"/>
      <c r="F109" s="2794"/>
      <c r="G109" s="2780"/>
      <c r="H109" s="2783"/>
      <c r="I109" s="2785"/>
      <c r="J109" s="2788"/>
      <c r="K109" s="2779"/>
      <c r="L109" s="2779"/>
      <c r="M109" s="2779"/>
      <c r="N109" s="2777"/>
      <c r="O109" s="2779"/>
      <c r="P109" s="1398"/>
      <c r="Q109" s="1224"/>
      <c r="R109" s="1224"/>
      <c r="S109" s="267"/>
      <c r="T109" s="267"/>
      <c r="U109" s="267"/>
      <c r="V109" s="267"/>
      <c r="W109" s="1225"/>
      <c r="Y109" s="1194"/>
      <c r="Z109" s="1194"/>
      <c r="AA109" s="1194"/>
      <c r="AB109" s="1194"/>
      <c r="AC109" s="1194"/>
      <c r="AD109" s="1194"/>
      <c r="AE109" s="1194"/>
      <c r="AF109" s="1194"/>
      <c r="AG109" s="1194"/>
      <c r="AH109" s="1194"/>
      <c r="AI109" s="1194"/>
      <c r="AJ109" s="1194"/>
      <c r="AK109" s="1194"/>
      <c r="AL109" s="1194"/>
      <c r="AM109" s="1194"/>
      <c r="AN109" s="1194"/>
      <c r="AO109" s="1194"/>
      <c r="AP109" s="1194"/>
      <c r="AQ109" s="1194"/>
      <c r="AR109" s="1368">
        <v>0</v>
      </c>
    </row>
    <row r="110" spans="1:44" s="1778" customFormat="1" ht="17.25" hidden="1" customHeight="1">
      <c r="A110" s="259"/>
      <c r="C110" s="258"/>
      <c r="D110" s="2791"/>
      <c r="E110" s="2780"/>
      <c r="F110" s="2794"/>
      <c r="G110" s="2780"/>
      <c r="H110" s="2783"/>
      <c r="I110" s="2785"/>
      <c r="J110" s="2788"/>
      <c r="K110" s="2779"/>
      <c r="L110" s="1224"/>
      <c r="M110" s="1224"/>
      <c r="N110" s="1224"/>
      <c r="O110" s="1224"/>
      <c r="P110" s="1224"/>
      <c r="Q110" s="1224"/>
      <c r="R110" s="1224"/>
      <c r="S110" s="267"/>
      <c r="T110" s="267"/>
      <c r="U110" s="267"/>
      <c r="V110" s="267"/>
      <c r="W110" s="1225"/>
      <c r="Y110" s="1186"/>
      <c r="Z110" s="1186"/>
      <c r="AA110" s="1186"/>
      <c r="AB110" s="1186"/>
      <c r="AC110" s="1186"/>
      <c r="AD110" s="1186"/>
      <c r="AE110" s="1186"/>
      <c r="AF110" s="1186"/>
      <c r="AG110" s="1186"/>
      <c r="AH110" s="1186"/>
      <c r="AI110" s="1186"/>
      <c r="AJ110" s="1186"/>
      <c r="AK110" s="1186"/>
      <c r="AL110" s="1186"/>
      <c r="AM110" s="1186"/>
      <c r="AN110" s="1186"/>
      <c r="AO110" s="1186"/>
      <c r="AP110" s="1186"/>
      <c r="AQ110" s="1186"/>
      <c r="AR110" s="1368">
        <v>0</v>
      </c>
    </row>
    <row r="111" spans="1:44" s="1778" customFormat="1" ht="17.25" hidden="1" customHeight="1">
      <c r="A111" s="259"/>
      <c r="C111" s="258"/>
      <c r="D111" s="2792"/>
      <c r="E111" s="2781"/>
      <c r="F111" s="2795"/>
      <c r="G111" s="2781"/>
      <c r="H111" s="1226"/>
      <c r="I111" s="1227"/>
      <c r="J111" s="1227"/>
      <c r="K111" s="1227"/>
      <c r="L111" s="1227"/>
      <c r="M111" s="1227"/>
      <c r="N111" s="1227"/>
      <c r="O111" s="1227"/>
      <c r="P111" s="1227"/>
      <c r="Q111" s="1227"/>
      <c r="R111" s="1227"/>
      <c r="S111" s="1228"/>
      <c r="T111" s="1228"/>
      <c r="U111" s="1228"/>
      <c r="V111" s="1228"/>
      <c r="W111" s="1229"/>
      <c r="Y111" s="1186"/>
      <c r="Z111" s="1186"/>
      <c r="AA111" s="1186"/>
      <c r="AB111" s="1186"/>
      <c r="AC111" s="1186"/>
      <c r="AD111" s="1186"/>
      <c r="AE111" s="1186"/>
      <c r="AF111" s="1186"/>
      <c r="AG111" s="1186"/>
      <c r="AH111" s="1186"/>
      <c r="AI111" s="1186"/>
      <c r="AJ111" s="1186"/>
      <c r="AK111" s="1186"/>
      <c r="AL111" s="1186"/>
      <c r="AM111" s="1186"/>
      <c r="AN111" s="1186"/>
      <c r="AO111" s="1186"/>
      <c r="AP111" s="1186"/>
      <c r="AQ111" s="1186"/>
      <c r="AR111" s="1277">
        <v>0</v>
      </c>
    </row>
    <row r="112" spans="1:44" s="1778" customFormat="1" ht="17.25" hidden="1" customHeight="1">
      <c r="A112" s="259"/>
      <c r="C112" s="147"/>
      <c r="D112" s="2791">
        <v>2</v>
      </c>
      <c r="E112" s="2780" t="s">
        <v>274</v>
      </c>
      <c r="F112" s="2793" t="s">
        <v>19</v>
      </c>
      <c r="G112" s="2780"/>
      <c r="H112" s="2782"/>
      <c r="I112" s="2784"/>
      <c r="J112" s="2786"/>
      <c r="K112" s="2778"/>
      <c r="L112" s="2778"/>
      <c r="M112" s="2778"/>
      <c r="N112" s="2789"/>
      <c r="O112" s="2778"/>
      <c r="P112" s="2778"/>
      <c r="Q112" s="2778"/>
      <c r="R112" s="2776"/>
      <c r="S112" s="2778"/>
      <c r="T112" s="1370"/>
      <c r="U112" s="1370"/>
      <c r="V112" s="1372"/>
      <c r="W112" s="1223"/>
      <c r="X112" s="1194"/>
      <c r="Y112" s="1194"/>
      <c r="Z112" s="1194"/>
      <c r="AA112" s="1194"/>
      <c r="AB112" s="1194"/>
      <c r="AC112" s="1194" t="s">
        <v>275</v>
      </c>
      <c r="AD112" s="1194" t="s">
        <v>276</v>
      </c>
      <c r="AE112" s="1194" t="s">
        <v>277</v>
      </c>
      <c r="AF112" s="1194" t="s">
        <v>278</v>
      </c>
      <c r="AG112" s="1194"/>
      <c r="AH112" s="1194" t="str">
        <f>IF($E$112=0,"",$E$112)</f>
        <v>Тариф на техническую воду</v>
      </c>
      <c r="AI112" s="1194" t="str">
        <f>IF($G$112=0,"",$G$112)</f>
        <v/>
      </c>
      <c r="AJ112" s="1194" t="str">
        <f>IF($J$112=0,"",$J$112)</f>
        <v/>
      </c>
      <c r="AK112" s="1194" t="str">
        <f>IF($K$112="нет","без дифференциации",IF($N$112=0,"",$N$112))</f>
        <v/>
      </c>
      <c r="AL112" s="1194" t="str">
        <f>IF($O$112="нет","без дифференциации",IF($R$112=0,"",$R$112))</f>
        <v/>
      </c>
      <c r="AM112" s="1194" t="str">
        <f>IF($S$112="нет","без дифференциации",IF($V$112=0,"",$V$112))</f>
        <v/>
      </c>
      <c r="AN112" s="1698">
        <f>$I$112</f>
        <v>0</v>
      </c>
      <c r="AO112" s="1194" t="str">
        <f>$I$112&amp;"."&amp;$M$112</f>
        <v>.</v>
      </c>
      <c r="AP112" s="1186" t="str">
        <f>$I$112&amp;"."&amp;$M$112&amp;"."&amp;$Q$112</f>
        <v>..</v>
      </c>
      <c r="AQ112" s="1186" t="str">
        <f>$I$112&amp;"."&amp;$M$112&amp;"."&amp;$Q$112&amp;"."&amp;$U$112</f>
        <v>...</v>
      </c>
      <c r="AR112" s="1277">
        <v>0</v>
      </c>
    </row>
    <row r="113" spans="1:44" s="1778" customFormat="1" ht="17.25" hidden="1" customHeight="1">
      <c r="A113" s="259"/>
      <c r="C113" s="258"/>
      <c r="D113" s="2791"/>
      <c r="E113" s="2780"/>
      <c r="F113" s="2794"/>
      <c r="G113" s="2780"/>
      <c r="H113" s="2783"/>
      <c r="I113" s="2785"/>
      <c r="J113" s="2787"/>
      <c r="K113" s="2779"/>
      <c r="L113" s="2779"/>
      <c r="M113" s="2779"/>
      <c r="N113" s="2790"/>
      <c r="O113" s="2779"/>
      <c r="P113" s="2779"/>
      <c r="Q113" s="2779"/>
      <c r="R113" s="2777"/>
      <c r="S113" s="2779"/>
      <c r="T113" s="1224"/>
      <c r="U113" s="1224"/>
      <c r="V113" s="1224"/>
      <c r="W113" s="1225"/>
      <c r="X113" s="1186"/>
      <c r="Y113" s="1186"/>
      <c r="Z113" s="1186"/>
      <c r="AA113" s="1186"/>
      <c r="AB113" s="1186"/>
      <c r="AC113" s="1186"/>
      <c r="AD113" s="1186"/>
      <c r="AE113" s="1186"/>
      <c r="AF113" s="1186"/>
      <c r="AG113" s="1186"/>
      <c r="AH113" s="1186"/>
      <c r="AI113" s="1186"/>
      <c r="AJ113" s="1186"/>
      <c r="AK113" s="1186"/>
      <c r="AL113" s="1186"/>
      <c r="AM113" s="1186"/>
      <c r="AN113" s="1186"/>
      <c r="AO113" s="1186"/>
      <c r="AP113" s="1186"/>
      <c r="AQ113" s="1186"/>
      <c r="AR113" s="1277">
        <v>0</v>
      </c>
    </row>
    <row r="114" spans="1:44" s="1778" customFormat="1" ht="17.25" hidden="1" customHeight="1">
      <c r="A114" s="259"/>
      <c r="C114" s="258"/>
      <c r="D114" s="2792"/>
      <c r="E114" s="2781"/>
      <c r="F114" s="2794"/>
      <c r="G114" s="2781"/>
      <c r="H114" s="2783"/>
      <c r="I114" s="2785"/>
      <c r="J114" s="2788"/>
      <c r="K114" s="2779"/>
      <c r="L114" s="2779"/>
      <c r="M114" s="2779"/>
      <c r="N114" s="2777"/>
      <c r="O114" s="2779"/>
      <c r="P114" s="1371"/>
      <c r="Q114" s="1224"/>
      <c r="R114" s="1224"/>
      <c r="S114" s="267"/>
      <c r="T114" s="267"/>
      <c r="U114" s="267"/>
      <c r="V114" s="267"/>
      <c r="W114" s="1225"/>
      <c r="X114" s="1186"/>
      <c r="Y114" s="1186"/>
      <c r="Z114" s="1186"/>
      <c r="AA114" s="1186"/>
      <c r="AB114" s="1186"/>
      <c r="AC114" s="1186"/>
      <c r="AD114" s="1186"/>
      <c r="AE114" s="1186"/>
      <c r="AF114" s="1186"/>
      <c r="AG114" s="1186"/>
      <c r="AH114" s="1186"/>
      <c r="AI114" s="1186"/>
      <c r="AJ114" s="1186"/>
      <c r="AK114" s="1186"/>
      <c r="AL114" s="1186"/>
      <c r="AM114" s="1186"/>
      <c r="AN114" s="1186"/>
      <c r="AO114" s="1186"/>
      <c r="AP114" s="1186"/>
      <c r="AQ114" s="1186"/>
      <c r="AR114" s="1277">
        <v>0</v>
      </c>
    </row>
    <row r="115" spans="1:44" s="1778" customFormat="1" ht="17.25" hidden="1" customHeight="1">
      <c r="A115" s="259"/>
      <c r="C115" s="258"/>
      <c r="D115" s="2792"/>
      <c r="E115" s="2781"/>
      <c r="F115" s="2794"/>
      <c r="G115" s="2781"/>
      <c r="H115" s="2783"/>
      <c r="I115" s="2785"/>
      <c r="J115" s="2788"/>
      <c r="K115" s="2779"/>
      <c r="L115" s="1224"/>
      <c r="M115" s="1224"/>
      <c r="N115" s="1224"/>
      <c r="O115" s="1224"/>
      <c r="P115" s="1224"/>
      <c r="Q115" s="1224"/>
      <c r="R115" s="1224"/>
      <c r="S115" s="267"/>
      <c r="T115" s="267"/>
      <c r="U115" s="267"/>
      <c r="V115" s="267"/>
      <c r="W115" s="1225"/>
      <c r="X115" s="1186"/>
      <c r="Y115" s="1186"/>
      <c r="Z115" s="1186"/>
      <c r="AA115" s="1186"/>
      <c r="AB115" s="1186"/>
      <c r="AC115" s="1186"/>
      <c r="AD115" s="1186"/>
      <c r="AE115" s="1186"/>
      <c r="AF115" s="1186"/>
      <c r="AG115" s="1186"/>
      <c r="AH115" s="1186"/>
      <c r="AI115" s="1186"/>
      <c r="AJ115" s="1186"/>
      <c r="AK115" s="1186"/>
      <c r="AL115" s="1186"/>
      <c r="AM115" s="1186"/>
      <c r="AN115" s="1186"/>
      <c r="AO115" s="1186"/>
      <c r="AP115" s="1186"/>
      <c r="AQ115" s="1186"/>
      <c r="AR115" s="1277">
        <v>0</v>
      </c>
    </row>
    <row r="116" spans="1:44" s="1778" customFormat="1" ht="17.25" hidden="1" customHeight="1">
      <c r="A116" s="259"/>
      <c r="C116" s="258"/>
      <c r="D116" s="2792"/>
      <c r="E116" s="2781"/>
      <c r="F116" s="2795"/>
      <c r="G116" s="2781"/>
      <c r="H116" s="1226"/>
      <c r="I116" s="1227"/>
      <c r="J116" s="1227"/>
      <c r="K116" s="1227"/>
      <c r="L116" s="1227"/>
      <c r="M116" s="1227"/>
      <c r="N116" s="1227"/>
      <c r="O116" s="1227"/>
      <c r="P116" s="1227"/>
      <c r="Q116" s="1227"/>
      <c r="R116" s="1227"/>
      <c r="S116" s="1228"/>
      <c r="T116" s="1228"/>
      <c r="U116" s="1228"/>
      <c r="V116" s="1228"/>
      <c r="W116" s="1229"/>
      <c r="X116" s="1186"/>
      <c r="Y116" s="1186"/>
      <c r="Z116" s="1186"/>
      <c r="AA116" s="1186"/>
      <c r="AB116" s="1186"/>
      <c r="AC116" s="1186"/>
      <c r="AD116" s="1186"/>
      <c r="AE116" s="1186"/>
      <c r="AF116" s="1186"/>
      <c r="AG116" s="1186"/>
      <c r="AH116" s="1186"/>
      <c r="AI116" s="1186"/>
      <c r="AJ116" s="1186"/>
      <c r="AK116" s="1186"/>
      <c r="AL116" s="1186"/>
      <c r="AM116" s="1186"/>
      <c r="AN116" s="1186"/>
      <c r="AO116" s="1186"/>
      <c r="AP116" s="1186"/>
      <c r="AQ116" s="1186"/>
      <c r="AR116" s="1277">
        <v>0</v>
      </c>
    </row>
    <row r="117" spans="1:44" s="1778" customFormat="1" ht="17.25" hidden="1" customHeight="1">
      <c r="A117" s="259"/>
      <c r="C117" s="147"/>
      <c r="D117" s="2791">
        <v>3</v>
      </c>
      <c r="E117" s="2780" t="s">
        <v>279</v>
      </c>
      <c r="F117" s="2793" t="s">
        <v>19</v>
      </c>
      <c r="G117" s="2780"/>
      <c r="H117" s="2782"/>
      <c r="I117" s="2784"/>
      <c r="J117" s="2786"/>
      <c r="K117" s="2778"/>
      <c r="L117" s="2778"/>
      <c r="M117" s="2778"/>
      <c r="N117" s="2789"/>
      <c r="O117" s="2778"/>
      <c r="P117" s="2778"/>
      <c r="Q117" s="2778"/>
      <c r="R117" s="2776"/>
      <c r="S117" s="2778"/>
      <c r="T117" s="1370"/>
      <c r="U117" s="1370"/>
      <c r="V117" s="1372"/>
      <c r="W117" s="1223"/>
      <c r="X117" s="1194"/>
      <c r="Y117" s="1194"/>
      <c r="Z117" s="1194"/>
      <c r="AA117" s="1194"/>
      <c r="AB117" s="1194"/>
      <c r="AC117" s="1194" t="s">
        <v>280</v>
      </c>
      <c r="AD117" s="1194" t="s">
        <v>281</v>
      </c>
      <c r="AE117" s="1194" t="s">
        <v>282</v>
      </c>
      <c r="AF117" s="1194" t="s">
        <v>283</v>
      </c>
      <c r="AG117" s="1194"/>
      <c r="AH117" s="1194" t="str">
        <f>IF($E$117=0,"",$E$117)</f>
        <v>Тариф на транспортировку воды</v>
      </c>
      <c r="AI117" s="1194" t="str">
        <f>IF($G$117=0,"",$G$117)</f>
        <v/>
      </c>
      <c r="AJ117" s="1194" t="str">
        <f>IF($J$117=0,"",$J$117)</f>
        <v/>
      </c>
      <c r="AK117" s="1194" t="str">
        <f>IF($K$117="нет","без дифференциации",IF($N$117=0,"",$N$117))</f>
        <v/>
      </c>
      <c r="AL117" s="1194" t="str">
        <f>IF($O$117="нет","без дифференциации",IF($R$117=0,"",$R$117))</f>
        <v/>
      </c>
      <c r="AM117" s="1194" t="str">
        <f>IF($S$117="нет","без дифференциации",IF($V$117=0,"",$V$117))</f>
        <v/>
      </c>
      <c r="AN117" s="1698">
        <f>$I$117</f>
        <v>0</v>
      </c>
      <c r="AO117" s="1194" t="str">
        <f>$I$117&amp;"."&amp;$M$117</f>
        <v>.</v>
      </c>
      <c r="AP117" s="1186" t="str">
        <f>$I$117&amp;"."&amp;$M$117&amp;"."&amp;$Q$117</f>
        <v>..</v>
      </c>
      <c r="AQ117" s="1186" t="str">
        <f>$I$117&amp;"."&amp;$M$117&amp;"."&amp;$Q$117&amp;"."&amp;$U$117</f>
        <v>...</v>
      </c>
      <c r="AR117" s="1277">
        <v>0</v>
      </c>
    </row>
    <row r="118" spans="1:44" s="1778" customFormat="1" ht="17.25" hidden="1" customHeight="1">
      <c r="A118" s="259"/>
      <c r="C118" s="258"/>
      <c r="D118" s="2791"/>
      <c r="E118" s="2780"/>
      <c r="F118" s="2794"/>
      <c r="G118" s="2780"/>
      <c r="H118" s="2783"/>
      <c r="I118" s="2785"/>
      <c r="J118" s="2787"/>
      <c r="K118" s="2779"/>
      <c r="L118" s="2779"/>
      <c r="M118" s="2779"/>
      <c r="N118" s="2790"/>
      <c r="O118" s="2779"/>
      <c r="P118" s="2779"/>
      <c r="Q118" s="2779"/>
      <c r="R118" s="2777"/>
      <c r="S118" s="2779"/>
      <c r="T118" s="1224"/>
      <c r="U118" s="1224"/>
      <c r="V118" s="1224"/>
      <c r="W118" s="1225"/>
      <c r="X118" s="1186"/>
      <c r="Y118" s="1186"/>
      <c r="Z118" s="1186"/>
      <c r="AA118" s="1186"/>
      <c r="AB118" s="1186"/>
      <c r="AC118" s="1186"/>
      <c r="AD118" s="1186"/>
      <c r="AE118" s="1186"/>
      <c r="AF118" s="1186"/>
      <c r="AG118" s="1186"/>
      <c r="AH118" s="1186"/>
      <c r="AI118" s="1186"/>
      <c r="AJ118" s="1186"/>
      <c r="AK118" s="1186"/>
      <c r="AL118" s="1186"/>
      <c r="AM118" s="1186"/>
      <c r="AN118" s="1186"/>
      <c r="AO118" s="1186"/>
      <c r="AP118" s="1186"/>
      <c r="AQ118" s="1186"/>
      <c r="AR118" s="1277">
        <v>0</v>
      </c>
    </row>
    <row r="119" spans="1:44" s="1778" customFormat="1" ht="17.25" hidden="1" customHeight="1">
      <c r="A119" s="259"/>
      <c r="C119" s="258"/>
      <c r="D119" s="2792"/>
      <c r="E119" s="2781"/>
      <c r="F119" s="2794"/>
      <c r="G119" s="2781"/>
      <c r="H119" s="2783"/>
      <c r="I119" s="2785"/>
      <c r="J119" s="2788"/>
      <c r="K119" s="2779"/>
      <c r="L119" s="2779"/>
      <c r="M119" s="2779"/>
      <c r="N119" s="2777"/>
      <c r="O119" s="2779"/>
      <c r="P119" s="1371"/>
      <c r="Q119" s="1224"/>
      <c r="R119" s="1224"/>
      <c r="S119" s="267"/>
      <c r="T119" s="267"/>
      <c r="U119" s="267"/>
      <c r="V119" s="267"/>
      <c r="W119" s="1225"/>
      <c r="X119" s="1186"/>
      <c r="Y119" s="1186"/>
      <c r="Z119" s="1186"/>
      <c r="AA119" s="1186"/>
      <c r="AB119" s="1186"/>
      <c r="AC119" s="1186"/>
      <c r="AD119" s="1186"/>
      <c r="AE119" s="1186"/>
      <c r="AF119" s="1186"/>
      <c r="AG119" s="1186"/>
      <c r="AH119" s="1186"/>
      <c r="AI119" s="1186"/>
      <c r="AJ119" s="1186"/>
      <c r="AK119" s="1186"/>
      <c r="AL119" s="1186"/>
      <c r="AM119" s="1186"/>
      <c r="AN119" s="1186"/>
      <c r="AO119" s="1186"/>
      <c r="AP119" s="1186"/>
      <c r="AQ119" s="1186"/>
      <c r="AR119" s="1277">
        <v>0</v>
      </c>
    </row>
    <row r="120" spans="1:44" s="1778" customFormat="1" ht="17.25" hidden="1" customHeight="1">
      <c r="A120" s="259"/>
      <c r="C120" s="258"/>
      <c r="D120" s="2792"/>
      <c r="E120" s="2781"/>
      <c r="F120" s="2794"/>
      <c r="G120" s="2781"/>
      <c r="H120" s="2783"/>
      <c r="I120" s="2785"/>
      <c r="J120" s="2788"/>
      <c r="K120" s="2779"/>
      <c r="L120" s="1224"/>
      <c r="M120" s="1224"/>
      <c r="N120" s="1224"/>
      <c r="O120" s="1224"/>
      <c r="P120" s="1224"/>
      <c r="Q120" s="1224"/>
      <c r="R120" s="1224"/>
      <c r="S120" s="267"/>
      <c r="T120" s="267"/>
      <c r="U120" s="267"/>
      <c r="V120" s="267"/>
      <c r="W120" s="1225"/>
      <c r="X120" s="1186"/>
      <c r="Y120" s="1186"/>
      <c r="Z120" s="1186"/>
      <c r="AA120" s="1186"/>
      <c r="AB120" s="1186"/>
      <c r="AC120" s="1186"/>
      <c r="AD120" s="1186"/>
      <c r="AE120" s="1186"/>
      <c r="AF120" s="1186"/>
      <c r="AG120" s="1186"/>
      <c r="AH120" s="1186"/>
      <c r="AI120" s="1186"/>
      <c r="AJ120" s="1186"/>
      <c r="AK120" s="1186"/>
      <c r="AL120" s="1186"/>
      <c r="AM120" s="1186"/>
      <c r="AN120" s="1186"/>
      <c r="AO120" s="1186"/>
      <c r="AP120" s="1186"/>
      <c r="AQ120" s="1186"/>
      <c r="AR120" s="1277">
        <v>0</v>
      </c>
    </row>
    <row r="121" spans="1:44" s="1778" customFormat="1" ht="17.25" hidden="1" customHeight="1">
      <c r="A121" s="259"/>
      <c r="C121" s="258"/>
      <c r="D121" s="2792"/>
      <c r="E121" s="2781"/>
      <c r="F121" s="2795"/>
      <c r="G121" s="2781"/>
      <c r="H121" s="1226"/>
      <c r="I121" s="1227"/>
      <c r="J121" s="1227"/>
      <c r="K121" s="1227"/>
      <c r="L121" s="1227"/>
      <c r="M121" s="1227"/>
      <c r="N121" s="1227"/>
      <c r="O121" s="1227"/>
      <c r="P121" s="1227"/>
      <c r="Q121" s="1227"/>
      <c r="R121" s="1227"/>
      <c r="S121" s="1228"/>
      <c r="T121" s="1228"/>
      <c r="U121" s="1228"/>
      <c r="V121" s="1228"/>
      <c r="W121" s="1229"/>
      <c r="X121" s="1186"/>
      <c r="Y121" s="1186"/>
      <c r="Z121" s="1186"/>
      <c r="AA121" s="1186"/>
      <c r="AB121" s="1186"/>
      <c r="AC121" s="1186"/>
      <c r="AD121" s="1186"/>
      <c r="AE121" s="1186"/>
      <c r="AF121" s="1186"/>
      <c r="AG121" s="1186"/>
      <c r="AH121" s="1186"/>
      <c r="AI121" s="1186"/>
      <c r="AJ121" s="1186"/>
      <c r="AK121" s="1186"/>
      <c r="AL121" s="1186"/>
      <c r="AM121" s="1186"/>
      <c r="AN121" s="1186"/>
      <c r="AO121" s="1186"/>
      <c r="AP121" s="1186"/>
      <c r="AQ121" s="1186"/>
      <c r="AR121" s="1277">
        <v>0</v>
      </c>
    </row>
    <row r="122" spans="1:44" s="1778" customFormat="1" ht="17.25" hidden="1" customHeight="1">
      <c r="A122" s="259"/>
      <c r="C122" s="147"/>
      <c r="D122" s="2791">
        <v>4</v>
      </c>
      <c r="E122" s="2780" t="s">
        <v>284</v>
      </c>
      <c r="F122" s="2793" t="s">
        <v>19</v>
      </c>
      <c r="G122" s="2780"/>
      <c r="H122" s="2782"/>
      <c r="I122" s="2784"/>
      <c r="J122" s="2786"/>
      <c r="K122" s="2778"/>
      <c r="L122" s="2778"/>
      <c r="M122" s="2778"/>
      <c r="N122" s="2789"/>
      <c r="O122" s="2778"/>
      <c r="P122" s="2778"/>
      <c r="Q122" s="2778"/>
      <c r="R122" s="2776"/>
      <c r="S122" s="2778"/>
      <c r="T122" s="1370"/>
      <c r="U122" s="1370"/>
      <c r="V122" s="1372"/>
      <c r="W122" s="1223"/>
      <c r="X122" s="1194"/>
      <c r="Y122" s="1194"/>
      <c r="Z122" s="1194"/>
      <c r="AA122" s="1194"/>
      <c r="AB122" s="1194"/>
      <c r="AC122" s="1194" t="s">
        <v>285</v>
      </c>
      <c r="AD122" s="1194" t="s">
        <v>286</v>
      </c>
      <c r="AE122" s="1194" t="s">
        <v>287</v>
      </c>
      <c r="AF122" s="1194" t="s">
        <v>288</v>
      </c>
      <c r="AG122" s="1194"/>
      <c r="AH122" s="1194" t="str">
        <f>IF($E$122=0,"",$E$122)</f>
        <v>Тариф на подвоз воды</v>
      </c>
      <c r="AI122" s="1194" t="str">
        <f>IF($G$122=0,"",$G$122)</f>
        <v/>
      </c>
      <c r="AJ122" s="1194" t="str">
        <f>IF($J$122=0,"",$J$122)</f>
        <v/>
      </c>
      <c r="AK122" s="1194" t="str">
        <f>IF($K$122="нет","без дифференциации",IF($N$122=0,"",$N$122))</f>
        <v/>
      </c>
      <c r="AL122" s="1194" t="str">
        <f>IF($O$122="нет","без дифференциации",IF($R$122=0,"",$R$122))</f>
        <v/>
      </c>
      <c r="AM122" s="1194" t="str">
        <f>IF($S$122="нет","без дифференциации",IF($V$122=0,"",$V$122))</f>
        <v/>
      </c>
      <c r="AN122" s="1698">
        <f>$I$122</f>
        <v>0</v>
      </c>
      <c r="AO122" s="1194" t="str">
        <f>$I$122&amp;"."&amp;$M$122</f>
        <v>.</v>
      </c>
      <c r="AP122" s="1186" t="str">
        <f>$I$122&amp;"."&amp;$M$122&amp;"."&amp;$Q$122</f>
        <v>..</v>
      </c>
      <c r="AQ122" s="1186" t="str">
        <f>$I$122&amp;"."&amp;$M$122&amp;"."&amp;$Q$122&amp;"."&amp;$U$122</f>
        <v>...</v>
      </c>
      <c r="AR122" s="1277">
        <v>0</v>
      </c>
    </row>
    <row r="123" spans="1:44" s="1778" customFormat="1" ht="17.25" hidden="1" customHeight="1">
      <c r="A123" s="259"/>
      <c r="C123" s="258"/>
      <c r="D123" s="2791"/>
      <c r="E123" s="2780"/>
      <c r="F123" s="2794"/>
      <c r="G123" s="2780"/>
      <c r="H123" s="2783"/>
      <c r="I123" s="2785"/>
      <c r="J123" s="2787"/>
      <c r="K123" s="2779"/>
      <c r="L123" s="2779"/>
      <c r="M123" s="2779"/>
      <c r="N123" s="2790"/>
      <c r="O123" s="2779"/>
      <c r="P123" s="2779"/>
      <c r="Q123" s="2779"/>
      <c r="R123" s="2777"/>
      <c r="S123" s="2779"/>
      <c r="T123" s="1224"/>
      <c r="U123" s="1224"/>
      <c r="V123" s="1224"/>
      <c r="W123" s="1225"/>
      <c r="X123" s="1186"/>
      <c r="Y123" s="1186"/>
      <c r="Z123" s="1186"/>
      <c r="AA123" s="1186"/>
      <c r="AB123" s="1186"/>
      <c r="AC123" s="1186"/>
      <c r="AD123" s="1186"/>
      <c r="AE123" s="1186"/>
      <c r="AF123" s="1186"/>
      <c r="AG123" s="1186"/>
      <c r="AH123" s="1186"/>
      <c r="AI123" s="1186"/>
      <c r="AJ123" s="1186"/>
      <c r="AK123" s="1186"/>
      <c r="AL123" s="1186"/>
      <c r="AM123" s="1186"/>
      <c r="AN123" s="1186"/>
      <c r="AO123" s="1186"/>
      <c r="AP123" s="1186"/>
      <c r="AQ123" s="1186"/>
      <c r="AR123" s="1277">
        <v>0</v>
      </c>
    </row>
    <row r="124" spans="1:44" s="1778" customFormat="1" ht="17.25" hidden="1" customHeight="1">
      <c r="A124" s="259"/>
      <c r="C124" s="258"/>
      <c r="D124" s="2792"/>
      <c r="E124" s="2781"/>
      <c r="F124" s="2794"/>
      <c r="G124" s="2781"/>
      <c r="H124" s="2783"/>
      <c r="I124" s="2785"/>
      <c r="J124" s="2788"/>
      <c r="K124" s="2779"/>
      <c r="L124" s="2779"/>
      <c r="M124" s="2779"/>
      <c r="N124" s="2777"/>
      <c r="O124" s="2779"/>
      <c r="P124" s="1371"/>
      <c r="Q124" s="1224"/>
      <c r="R124" s="1224"/>
      <c r="S124" s="267"/>
      <c r="T124" s="267"/>
      <c r="U124" s="267"/>
      <c r="V124" s="267"/>
      <c r="W124" s="1225"/>
      <c r="X124" s="1186"/>
      <c r="Y124" s="1186"/>
      <c r="Z124" s="1186"/>
      <c r="AA124" s="1186"/>
      <c r="AB124" s="1186"/>
      <c r="AC124" s="1186"/>
      <c r="AD124" s="1186"/>
      <c r="AE124" s="1186"/>
      <c r="AF124" s="1186"/>
      <c r="AG124" s="1186"/>
      <c r="AH124" s="1186"/>
      <c r="AI124" s="1186"/>
      <c r="AJ124" s="1186"/>
      <c r="AK124" s="1186"/>
      <c r="AL124" s="1186"/>
      <c r="AM124" s="1186"/>
      <c r="AN124" s="1186"/>
      <c r="AO124" s="1186"/>
      <c r="AP124" s="1186"/>
      <c r="AQ124" s="1186"/>
      <c r="AR124" s="1277">
        <v>0</v>
      </c>
    </row>
    <row r="125" spans="1:44" s="1778" customFormat="1" ht="17.25" hidden="1" customHeight="1">
      <c r="A125" s="259"/>
      <c r="C125" s="258"/>
      <c r="D125" s="2792"/>
      <c r="E125" s="2781"/>
      <c r="F125" s="2794"/>
      <c r="G125" s="2781"/>
      <c r="H125" s="2783"/>
      <c r="I125" s="2785"/>
      <c r="J125" s="2788"/>
      <c r="K125" s="2779"/>
      <c r="L125" s="1224"/>
      <c r="M125" s="1224"/>
      <c r="N125" s="1224"/>
      <c r="O125" s="1224"/>
      <c r="P125" s="1224"/>
      <c r="Q125" s="1224"/>
      <c r="R125" s="1224"/>
      <c r="S125" s="267"/>
      <c r="T125" s="267"/>
      <c r="U125" s="267"/>
      <c r="V125" s="267"/>
      <c r="W125" s="1225"/>
      <c r="X125" s="1186"/>
      <c r="Y125" s="1186"/>
      <c r="Z125" s="1186"/>
      <c r="AA125" s="1186"/>
      <c r="AB125" s="1186"/>
      <c r="AC125" s="1186"/>
      <c r="AD125" s="1186"/>
      <c r="AE125" s="1186"/>
      <c r="AF125" s="1186"/>
      <c r="AG125" s="1186"/>
      <c r="AH125" s="1186"/>
      <c r="AI125" s="1186"/>
      <c r="AJ125" s="1186"/>
      <c r="AK125" s="1186"/>
      <c r="AL125" s="1186"/>
      <c r="AM125" s="1186"/>
      <c r="AN125" s="1186"/>
      <c r="AO125" s="1186"/>
      <c r="AP125" s="1186"/>
      <c r="AQ125" s="1186"/>
      <c r="AR125" s="1277">
        <v>0</v>
      </c>
    </row>
    <row r="126" spans="1:44" s="1778" customFormat="1" ht="17.25" hidden="1" customHeight="1">
      <c r="A126" s="259"/>
      <c r="C126" s="258"/>
      <c r="D126" s="2792"/>
      <c r="E126" s="2781"/>
      <c r="F126" s="2795"/>
      <c r="G126" s="2781"/>
      <c r="H126" s="1226"/>
      <c r="I126" s="1227"/>
      <c r="J126" s="1227"/>
      <c r="K126" s="1227"/>
      <c r="L126" s="1227"/>
      <c r="M126" s="1227"/>
      <c r="N126" s="1227"/>
      <c r="O126" s="1227"/>
      <c r="P126" s="1227"/>
      <c r="Q126" s="1227"/>
      <c r="R126" s="1227"/>
      <c r="S126" s="1228"/>
      <c r="T126" s="1228"/>
      <c r="U126" s="1228"/>
      <c r="V126" s="1228"/>
      <c r="W126" s="1229"/>
      <c r="X126" s="1186"/>
      <c r="Y126" s="1186"/>
      <c r="Z126" s="1186"/>
      <c r="AA126" s="1186"/>
      <c r="AB126" s="1186"/>
      <c r="AC126" s="1186"/>
      <c r="AD126" s="1186"/>
      <c r="AE126" s="1186"/>
      <c r="AF126" s="1186"/>
      <c r="AG126" s="1186"/>
      <c r="AH126" s="1186"/>
      <c r="AI126" s="1186"/>
      <c r="AJ126" s="1186"/>
      <c r="AK126" s="1186"/>
      <c r="AL126" s="1186"/>
      <c r="AM126" s="1186"/>
      <c r="AN126" s="1186"/>
      <c r="AO126" s="1186"/>
      <c r="AP126" s="1186"/>
      <c r="AQ126" s="1186"/>
      <c r="AR126" s="1277">
        <v>0</v>
      </c>
    </row>
    <row r="127" spans="1:44" s="1778" customFormat="1" ht="17.25" hidden="1" customHeight="1">
      <c r="A127" s="259"/>
      <c r="C127" s="147"/>
      <c r="D127" s="2791">
        <v>5</v>
      </c>
      <c r="E127" s="2780" t="s">
        <v>289</v>
      </c>
      <c r="F127" s="2793" t="s">
        <v>19</v>
      </c>
      <c r="G127" s="2780"/>
      <c r="H127" s="2782"/>
      <c r="I127" s="2784"/>
      <c r="J127" s="2786"/>
      <c r="K127" s="2778"/>
      <c r="L127" s="2778"/>
      <c r="M127" s="2778"/>
      <c r="N127" s="2789"/>
      <c r="O127" s="2778"/>
      <c r="P127" s="2778"/>
      <c r="Q127" s="2778"/>
      <c r="R127" s="2776"/>
      <c r="S127" s="2778"/>
      <c r="T127" s="1865"/>
      <c r="U127" s="1865"/>
      <c r="V127" s="1867"/>
      <c r="W127" s="1223"/>
      <c r="X127" s="1194"/>
      <c r="Y127" s="1194"/>
      <c r="Z127" s="1194"/>
      <c r="AA127" s="1194"/>
      <c r="AB127" s="1194"/>
      <c r="AC127" s="1194" t="s">
        <v>290</v>
      </c>
      <c r="AD127" s="1194" t="s">
        <v>291</v>
      </c>
      <c r="AE127" s="1194" t="s">
        <v>292</v>
      </c>
      <c r="AF127" s="1194" t="s">
        <v>293</v>
      </c>
      <c r="AG127" s="1194"/>
      <c r="AH127" s="1194" t="str">
        <f>IF($E$127=0,"",$E$127)</f>
        <v>Тариф на подключение (технологическое присоединение) к централизованной системе холодного водоснабжения</v>
      </c>
      <c r="AI127" s="1194" t="str">
        <f>IF($G$127=0,"",$G$127)</f>
        <v/>
      </c>
      <c r="AJ127" s="1194" t="str">
        <f>IF($J$127=0,"",$J$127)</f>
        <v/>
      </c>
      <c r="AK127" s="1194" t="str">
        <f>IF($K$127="нет","без дифференциации",IF($N$127=0,"",$N$127))</f>
        <v/>
      </c>
      <c r="AL127" s="1194" t="str">
        <f>IF($O$127="нет","без дифференциации",IF($R$127=0,"",$R$127))</f>
        <v/>
      </c>
      <c r="AM127" s="1194" t="str">
        <f>IF($S$127="нет","без дифференциации",IF($V$127=0,"",$V$127))</f>
        <v/>
      </c>
      <c r="AN127" s="1698">
        <f>$I$127</f>
        <v>0</v>
      </c>
      <c r="AO127" s="1194" t="str">
        <f>$I$127&amp;"."&amp;$M$127</f>
        <v>.</v>
      </c>
      <c r="AP127" s="1193" t="str">
        <f>$I$127&amp;"."&amp;$M$127&amp;"."&amp;$Q$127</f>
        <v>..</v>
      </c>
      <c r="AQ127" s="1193" t="str">
        <f>$I$127&amp;"."&amp;$M$127&amp;"."&amp;$Q$127&amp;"."&amp;$U$127</f>
        <v>...</v>
      </c>
      <c r="AR127" s="1394">
        <v>0</v>
      </c>
    </row>
    <row r="128" spans="1:44" s="1778" customFormat="1" ht="17.25" hidden="1" customHeight="1">
      <c r="A128" s="259"/>
      <c r="C128" s="258"/>
      <c r="D128" s="2791"/>
      <c r="E128" s="2780"/>
      <c r="F128" s="2794"/>
      <c r="G128" s="2780"/>
      <c r="H128" s="2783"/>
      <c r="I128" s="2785"/>
      <c r="J128" s="2787"/>
      <c r="K128" s="2779"/>
      <c r="L128" s="2779"/>
      <c r="M128" s="2779"/>
      <c r="N128" s="2790"/>
      <c r="O128" s="2779"/>
      <c r="P128" s="2779"/>
      <c r="Q128" s="2779"/>
      <c r="R128" s="2777"/>
      <c r="S128" s="2779"/>
      <c r="T128" s="1870"/>
      <c r="U128" s="1870"/>
      <c r="V128" s="1870"/>
      <c r="W128" s="1871"/>
      <c r="X128" s="1193"/>
      <c r="Y128" s="1193"/>
      <c r="Z128" s="1193"/>
      <c r="AA128" s="1193"/>
      <c r="AB128" s="1193"/>
      <c r="AC128" s="1193"/>
      <c r="AD128" s="1193"/>
      <c r="AE128" s="1193"/>
      <c r="AF128" s="1193"/>
      <c r="AG128" s="1193"/>
      <c r="AH128" s="1193"/>
      <c r="AI128" s="1193"/>
      <c r="AJ128" s="1193"/>
      <c r="AK128" s="1193"/>
      <c r="AL128" s="1193"/>
      <c r="AM128" s="1193"/>
      <c r="AN128" s="1193"/>
      <c r="AO128" s="1193"/>
      <c r="AP128" s="1193"/>
      <c r="AQ128" s="1193"/>
      <c r="AR128" s="1394">
        <v>0</v>
      </c>
    </row>
    <row r="129" spans="1:44" s="1778" customFormat="1" ht="17.25" hidden="1" customHeight="1">
      <c r="A129" s="259"/>
      <c r="C129" s="258"/>
      <c r="D129" s="2792"/>
      <c r="E129" s="2781"/>
      <c r="F129" s="2794"/>
      <c r="G129" s="2781"/>
      <c r="H129" s="2783"/>
      <c r="I129" s="2785"/>
      <c r="J129" s="2788"/>
      <c r="K129" s="2779"/>
      <c r="L129" s="2779"/>
      <c r="M129" s="2779"/>
      <c r="N129" s="2777"/>
      <c r="O129" s="2779"/>
      <c r="P129" s="1866"/>
      <c r="Q129" s="1870"/>
      <c r="R129" s="1870"/>
      <c r="S129" s="267"/>
      <c r="T129" s="267"/>
      <c r="U129" s="267"/>
      <c r="V129" s="267"/>
      <c r="W129" s="1871"/>
      <c r="X129" s="1193"/>
      <c r="Y129" s="1193"/>
      <c r="Z129" s="1193"/>
      <c r="AA129" s="1193"/>
      <c r="AB129" s="1193"/>
      <c r="AC129" s="1193"/>
      <c r="AD129" s="1193"/>
      <c r="AE129" s="1193"/>
      <c r="AF129" s="1193"/>
      <c r="AG129" s="1193"/>
      <c r="AH129" s="1193"/>
      <c r="AI129" s="1193"/>
      <c r="AJ129" s="1193"/>
      <c r="AK129" s="1193"/>
      <c r="AL129" s="1193"/>
      <c r="AM129" s="1193"/>
      <c r="AN129" s="1193"/>
      <c r="AO129" s="1193"/>
      <c r="AP129" s="1193"/>
      <c r="AQ129" s="1193"/>
      <c r="AR129" s="1394">
        <v>0</v>
      </c>
    </row>
    <row r="130" spans="1:44" s="1778" customFormat="1" ht="17.25" hidden="1" customHeight="1">
      <c r="A130" s="259"/>
      <c r="C130" s="258"/>
      <c r="D130" s="2792"/>
      <c r="E130" s="2781"/>
      <c r="F130" s="2794"/>
      <c r="G130" s="2781"/>
      <c r="H130" s="2783"/>
      <c r="I130" s="2785"/>
      <c r="J130" s="2788"/>
      <c r="K130" s="2779"/>
      <c r="L130" s="1870"/>
      <c r="M130" s="1870"/>
      <c r="N130" s="1870"/>
      <c r="O130" s="1870"/>
      <c r="P130" s="1870"/>
      <c r="Q130" s="1870"/>
      <c r="R130" s="1870"/>
      <c r="S130" s="267"/>
      <c r="T130" s="267"/>
      <c r="U130" s="267"/>
      <c r="V130" s="267"/>
      <c r="W130" s="1871"/>
      <c r="X130" s="1193"/>
      <c r="Y130" s="1193"/>
      <c r="Z130" s="1193"/>
      <c r="AA130" s="1193"/>
      <c r="AB130" s="1193"/>
      <c r="AC130" s="1193"/>
      <c r="AD130" s="1193"/>
      <c r="AE130" s="1193"/>
      <c r="AF130" s="1193"/>
      <c r="AG130" s="1193"/>
      <c r="AH130" s="1193"/>
      <c r="AI130" s="1193"/>
      <c r="AJ130" s="1193"/>
      <c r="AK130" s="1193"/>
      <c r="AL130" s="1193"/>
      <c r="AM130" s="1193"/>
      <c r="AN130" s="1193"/>
      <c r="AO130" s="1193"/>
      <c r="AP130" s="1193"/>
      <c r="AQ130" s="1193"/>
      <c r="AR130" s="1394">
        <v>0</v>
      </c>
    </row>
    <row r="131" spans="1:44" s="1778" customFormat="1" ht="17.25" hidden="1" customHeight="1">
      <c r="A131" s="259"/>
      <c r="C131" s="258"/>
      <c r="D131" s="2792"/>
      <c r="E131" s="2781"/>
      <c r="F131" s="2795"/>
      <c r="G131" s="2781"/>
      <c r="H131" s="1226"/>
      <c r="I131" s="1868"/>
      <c r="J131" s="1868"/>
      <c r="K131" s="1868"/>
      <c r="L131" s="1868"/>
      <c r="M131" s="1868"/>
      <c r="N131" s="1868"/>
      <c r="O131" s="1868"/>
      <c r="P131" s="1868"/>
      <c r="Q131" s="1868"/>
      <c r="R131" s="1868"/>
      <c r="S131" s="1228"/>
      <c r="T131" s="1228"/>
      <c r="U131" s="1228"/>
      <c r="V131" s="1228"/>
      <c r="W131" s="1869"/>
      <c r="X131" s="1193"/>
      <c r="Y131" s="1193"/>
      <c r="Z131" s="1193"/>
      <c r="AA131" s="1193"/>
      <c r="AB131" s="1193"/>
      <c r="AC131" s="1193"/>
      <c r="AD131" s="1193"/>
      <c r="AE131" s="1193"/>
      <c r="AF131" s="1193"/>
      <c r="AG131" s="1193"/>
      <c r="AH131" s="1193"/>
      <c r="AI131" s="1193"/>
      <c r="AJ131" s="1193"/>
      <c r="AK131" s="1193"/>
      <c r="AL131" s="1193"/>
      <c r="AM131" s="1193"/>
      <c r="AN131" s="1193"/>
      <c r="AO131" s="1193"/>
      <c r="AP131" s="1193"/>
      <c r="AQ131" s="1193"/>
      <c r="AR131" s="1394">
        <v>0</v>
      </c>
    </row>
    <row r="132" spans="1:44" s="1778" customFormat="1" ht="11.25" hidden="1" customHeight="1">
      <c r="A132" s="215"/>
      <c r="B132" s="215"/>
      <c r="Y132" s="1186"/>
      <c r="Z132" s="1186"/>
      <c r="AA132" s="1186"/>
      <c r="AB132" s="1186"/>
      <c r="AC132" s="1186"/>
      <c r="AD132" s="1186"/>
      <c r="AE132" s="1186"/>
      <c r="AF132" s="1186"/>
      <c r="AG132" s="1186"/>
      <c r="AH132" s="1186"/>
      <c r="AI132" s="1186"/>
      <c r="AJ132" s="1186"/>
      <c r="AK132" s="1186"/>
      <c r="AL132" s="1186"/>
      <c r="AM132" s="1186"/>
      <c r="AN132" s="1186"/>
      <c r="AO132" s="1186"/>
      <c r="AP132" s="1186"/>
      <c r="AQ132" s="1186"/>
      <c r="AR132" s="1394">
        <v>0</v>
      </c>
    </row>
    <row r="133" spans="1:44" s="1778" customFormat="1" ht="17.25" hidden="1" customHeight="1">
      <c r="A133" s="259"/>
      <c r="C133" s="147"/>
      <c r="D133" s="2791">
        <v>1</v>
      </c>
      <c r="E133" s="2780" t="s">
        <v>294</v>
      </c>
      <c r="F133" s="2793" t="s">
        <v>19</v>
      </c>
      <c r="G133" s="2780"/>
      <c r="H133" s="2782"/>
      <c r="I133" s="2784"/>
      <c r="J133" s="2786"/>
      <c r="K133" s="2778"/>
      <c r="L133" s="2778"/>
      <c r="M133" s="2778"/>
      <c r="N133" s="2789"/>
      <c r="O133" s="2778"/>
      <c r="P133" s="2778"/>
      <c r="Q133" s="2778"/>
      <c r="R133" s="2776"/>
      <c r="S133" s="2778"/>
      <c r="T133" s="1397"/>
      <c r="U133" s="1397"/>
      <c r="V133" s="1399"/>
      <c r="W133" s="1223"/>
      <c r="Y133" s="1194"/>
      <c r="Z133" s="1194"/>
      <c r="AA133" s="1194"/>
      <c r="AB133" s="1194"/>
      <c r="AC133" s="1194" t="s">
        <v>295</v>
      </c>
      <c r="AD133" s="1194" t="s">
        <v>296</v>
      </c>
      <c r="AE133" s="1194" t="s">
        <v>297</v>
      </c>
      <c r="AF133" s="1194" t="s">
        <v>298</v>
      </c>
      <c r="AG133" s="1194"/>
      <c r="AH133" s="1194" t="str">
        <f>IF($E$133=0,"",$E$133)</f>
        <v>Тариф на горячую воду (горячее водоснабжение)</v>
      </c>
      <c r="AI133" s="1194" t="str">
        <f>IF($G$133=0,"",$G$133)</f>
        <v/>
      </c>
      <c r="AJ133" s="1194" t="str">
        <f>IF($J$133=0,"",$J$133)</f>
        <v/>
      </c>
      <c r="AK133" s="1194" t="str">
        <f>IF($K$133="нет","без дифференциации",IF($N$133=0,"",$N$133))</f>
        <v/>
      </c>
      <c r="AL133" s="1194" t="str">
        <f>IF($O$133="нет","без дифференциации",IF($R$133=0,"",$R$133))</f>
        <v/>
      </c>
      <c r="AM133" s="1194" t="str">
        <f>IF($S$133="нет","без дифференциации",IF($V$133=0,"",$V$133))</f>
        <v/>
      </c>
      <c r="AN133" s="1194">
        <f>$I$133</f>
        <v>0</v>
      </c>
      <c r="AO133" s="1194" t="str">
        <f>$I$133&amp;"."&amp;$M$133</f>
        <v>.</v>
      </c>
      <c r="AP133" s="1194" t="str">
        <f>$I$133&amp;"."&amp;$M$133&amp;"."&amp;$Q$133</f>
        <v>..</v>
      </c>
      <c r="AQ133" s="1194" t="str">
        <f>$I$133&amp;"."&amp;$M$133&amp;"."&amp;$Q$133&amp;"."&amp;$U$133</f>
        <v>...</v>
      </c>
      <c r="AR133" s="1394">
        <v>0</v>
      </c>
    </row>
    <row r="134" spans="1:44" s="1778" customFormat="1" ht="17.25" hidden="1" customHeight="1">
      <c r="A134" s="259"/>
      <c r="C134" s="258"/>
      <c r="D134" s="2791"/>
      <c r="E134" s="2780"/>
      <c r="F134" s="2794"/>
      <c r="G134" s="2780"/>
      <c r="H134" s="2783"/>
      <c r="I134" s="2785"/>
      <c r="J134" s="2787"/>
      <c r="K134" s="2779"/>
      <c r="L134" s="2779"/>
      <c r="M134" s="2779"/>
      <c r="N134" s="2790"/>
      <c r="O134" s="2779"/>
      <c r="P134" s="2779"/>
      <c r="Q134" s="2779"/>
      <c r="R134" s="2777"/>
      <c r="S134" s="2779"/>
      <c r="T134" s="1224"/>
      <c r="U134" s="1224"/>
      <c r="V134" s="1224"/>
      <c r="W134" s="1225"/>
      <c r="Y134" s="1186"/>
      <c r="Z134" s="1186"/>
      <c r="AA134" s="1186"/>
      <c r="AB134" s="1186"/>
      <c r="AC134" s="1186"/>
      <c r="AD134" s="1186"/>
      <c r="AE134" s="1186"/>
      <c r="AF134" s="1186"/>
      <c r="AG134" s="1186"/>
      <c r="AH134" s="1186"/>
      <c r="AI134" s="1186"/>
      <c r="AJ134" s="1186"/>
      <c r="AK134" s="1186"/>
      <c r="AL134" s="1186"/>
      <c r="AM134" s="1186"/>
      <c r="AN134" s="1186"/>
      <c r="AO134" s="1186"/>
      <c r="AP134" s="1186"/>
      <c r="AQ134" s="1186"/>
      <c r="AR134" s="1394">
        <v>0</v>
      </c>
    </row>
    <row r="135" spans="1:44" s="1778" customFormat="1" ht="17.25" hidden="1" customHeight="1">
      <c r="A135" s="259"/>
      <c r="C135" s="147"/>
      <c r="D135" s="2791"/>
      <c r="E135" s="2780"/>
      <c r="F135" s="2794"/>
      <c r="G135" s="2780"/>
      <c r="H135" s="2783"/>
      <c r="I135" s="2785"/>
      <c r="J135" s="2788"/>
      <c r="K135" s="2779"/>
      <c r="L135" s="2779"/>
      <c r="M135" s="2779"/>
      <c r="N135" s="2777"/>
      <c r="O135" s="2779"/>
      <c r="P135" s="1398"/>
      <c r="Q135" s="1224"/>
      <c r="R135" s="1224"/>
      <c r="S135" s="267"/>
      <c r="T135" s="267"/>
      <c r="U135" s="267"/>
      <c r="V135" s="267"/>
      <c r="W135" s="1225"/>
      <c r="Y135" s="1194"/>
      <c r="Z135" s="1194"/>
      <c r="AA135" s="1194"/>
      <c r="AB135" s="1194"/>
      <c r="AC135" s="1194"/>
      <c r="AD135" s="1194"/>
      <c r="AE135" s="1194"/>
      <c r="AF135" s="1194"/>
      <c r="AG135" s="1194"/>
      <c r="AH135" s="1194"/>
      <c r="AI135" s="1194"/>
      <c r="AJ135" s="1194"/>
      <c r="AK135" s="1194"/>
      <c r="AL135" s="1194"/>
      <c r="AM135" s="1194"/>
      <c r="AN135" s="1194"/>
      <c r="AO135" s="1194"/>
      <c r="AP135" s="1194"/>
      <c r="AQ135" s="1194"/>
      <c r="AR135" s="1394">
        <v>0</v>
      </c>
    </row>
    <row r="136" spans="1:44" s="1778" customFormat="1" ht="17.25" hidden="1" customHeight="1">
      <c r="A136" s="259"/>
      <c r="C136" s="258"/>
      <c r="D136" s="2791"/>
      <c r="E136" s="2780"/>
      <c r="F136" s="2794"/>
      <c r="G136" s="2780"/>
      <c r="H136" s="2783"/>
      <c r="I136" s="2785"/>
      <c r="J136" s="2788"/>
      <c r="K136" s="2779"/>
      <c r="L136" s="1224"/>
      <c r="M136" s="1224"/>
      <c r="N136" s="1224"/>
      <c r="O136" s="1224"/>
      <c r="P136" s="1224"/>
      <c r="Q136" s="1224"/>
      <c r="R136" s="1224"/>
      <c r="S136" s="267"/>
      <c r="T136" s="267"/>
      <c r="U136" s="267"/>
      <c r="V136" s="267"/>
      <c r="W136" s="1225"/>
      <c r="Y136" s="1186"/>
      <c r="Z136" s="1186"/>
      <c r="AA136" s="1186"/>
      <c r="AB136" s="1186"/>
      <c r="AC136" s="1186"/>
      <c r="AD136" s="1186"/>
      <c r="AE136" s="1186"/>
      <c r="AF136" s="1186"/>
      <c r="AG136" s="1186"/>
      <c r="AH136" s="1186"/>
      <c r="AI136" s="1186"/>
      <c r="AJ136" s="1186"/>
      <c r="AK136" s="1186"/>
      <c r="AL136" s="1186"/>
      <c r="AM136" s="1186"/>
      <c r="AN136" s="1186"/>
      <c r="AO136" s="1186"/>
      <c r="AP136" s="1186"/>
      <c r="AQ136" s="1186"/>
      <c r="AR136" s="1394">
        <v>0</v>
      </c>
    </row>
    <row r="137" spans="1:44" s="1778" customFormat="1" ht="17.25" hidden="1" customHeight="1">
      <c r="A137" s="259"/>
      <c r="C137" s="258"/>
      <c r="D137" s="2792"/>
      <c r="E137" s="2781"/>
      <c r="F137" s="2795"/>
      <c r="G137" s="2781"/>
      <c r="H137" s="1226"/>
      <c r="I137" s="1227"/>
      <c r="J137" s="1227"/>
      <c r="K137" s="1227"/>
      <c r="L137" s="1227"/>
      <c r="M137" s="1227"/>
      <c r="N137" s="1227"/>
      <c r="O137" s="1227"/>
      <c r="P137" s="1227"/>
      <c r="Q137" s="1227"/>
      <c r="R137" s="1227"/>
      <c r="S137" s="1228"/>
      <c r="T137" s="1228"/>
      <c r="U137" s="1228"/>
      <c r="V137" s="1228"/>
      <c r="W137" s="1229"/>
      <c r="Y137" s="1186"/>
      <c r="Z137" s="1186"/>
      <c r="AA137" s="1186"/>
      <c r="AB137" s="1186"/>
      <c r="AC137" s="1186"/>
      <c r="AD137" s="1186"/>
      <c r="AE137" s="1186"/>
      <c r="AF137" s="1186"/>
      <c r="AG137" s="1186"/>
      <c r="AH137" s="1186"/>
      <c r="AI137" s="1186"/>
      <c r="AJ137" s="1186"/>
      <c r="AK137" s="1186"/>
      <c r="AL137" s="1186"/>
      <c r="AM137" s="1186"/>
      <c r="AN137" s="1186"/>
      <c r="AO137" s="1186"/>
      <c r="AP137" s="1186"/>
      <c r="AQ137" s="1186"/>
      <c r="AR137" s="1394">
        <v>0</v>
      </c>
    </row>
    <row r="138" spans="1:44" s="1778" customFormat="1" ht="17.25" hidden="1" customHeight="1">
      <c r="A138" s="259"/>
      <c r="C138" s="147"/>
      <c r="D138" s="2791">
        <v>2</v>
      </c>
      <c r="E138" s="2780" t="s">
        <v>299</v>
      </c>
      <c r="F138" s="2793" t="s">
        <v>19</v>
      </c>
      <c r="G138" s="2780"/>
      <c r="H138" s="2782"/>
      <c r="I138" s="2784"/>
      <c r="J138" s="2786"/>
      <c r="K138" s="2778"/>
      <c r="L138" s="2778"/>
      <c r="M138" s="2778"/>
      <c r="N138" s="2789"/>
      <c r="O138" s="2778"/>
      <c r="P138" s="2778"/>
      <c r="Q138" s="2778"/>
      <c r="R138" s="2776"/>
      <c r="S138" s="2778"/>
      <c r="T138" s="1397"/>
      <c r="U138" s="1397"/>
      <c r="V138" s="1399"/>
      <c r="W138" s="1223"/>
      <c r="X138" s="1194"/>
      <c r="Y138" s="1194"/>
      <c r="Z138" s="1194"/>
      <c r="AA138" s="1194"/>
      <c r="AB138" s="1194"/>
      <c r="AC138" s="1194" t="s">
        <v>300</v>
      </c>
      <c r="AD138" s="1194" t="s">
        <v>301</v>
      </c>
      <c r="AE138" s="1194" t="s">
        <v>302</v>
      </c>
      <c r="AF138" s="1194" t="s">
        <v>303</v>
      </c>
      <c r="AG138" s="1194"/>
      <c r="AH138" s="1194" t="str">
        <f>IF($E$138=0,"",$E$138)</f>
        <v>Тариф на транспортировку горячей воды</v>
      </c>
      <c r="AI138" s="1194" t="str">
        <f>IF($G$138=0,"",$G$138)</f>
        <v/>
      </c>
      <c r="AJ138" s="1194" t="str">
        <f>IF($J$138=0,"",$J$138)</f>
        <v/>
      </c>
      <c r="AK138" s="1194" t="str">
        <f>IF($K$138="нет","без дифференциации",IF($N$138=0,"",$N$138))</f>
        <v/>
      </c>
      <c r="AL138" s="1194" t="str">
        <f>IF($O$138="нет","без дифференциации",IF($R$138=0,"",$R$138))</f>
        <v/>
      </c>
      <c r="AM138" s="1194" t="str">
        <f>IF($S$138="нет","без дифференциации",IF($V$138=0,"",$V$138))</f>
        <v/>
      </c>
      <c r="AN138" s="1698">
        <f>$I$138</f>
        <v>0</v>
      </c>
      <c r="AO138" s="1194" t="str">
        <f>$I$138&amp;"."&amp;$M$138</f>
        <v>.</v>
      </c>
      <c r="AP138" s="1186" t="str">
        <f>$I$138&amp;"."&amp;$M$138&amp;"."&amp;$Q$138</f>
        <v>..</v>
      </c>
      <c r="AQ138" s="1186" t="str">
        <f>$I$138&amp;"."&amp;$M$138&amp;"."&amp;$Q$138&amp;"."&amp;$U$138</f>
        <v>...</v>
      </c>
      <c r="AR138" s="1394">
        <v>0</v>
      </c>
    </row>
    <row r="139" spans="1:44" s="1778" customFormat="1" ht="17.25" hidden="1" customHeight="1">
      <c r="A139" s="259"/>
      <c r="C139" s="258"/>
      <c r="D139" s="2791"/>
      <c r="E139" s="2780"/>
      <c r="F139" s="2794"/>
      <c r="G139" s="2780"/>
      <c r="H139" s="2783"/>
      <c r="I139" s="2785"/>
      <c r="J139" s="2787"/>
      <c r="K139" s="2779"/>
      <c r="L139" s="2779"/>
      <c r="M139" s="2779"/>
      <c r="N139" s="2790"/>
      <c r="O139" s="2779"/>
      <c r="P139" s="2779"/>
      <c r="Q139" s="2779"/>
      <c r="R139" s="2777"/>
      <c r="S139" s="2779"/>
      <c r="T139" s="1224"/>
      <c r="U139" s="1224"/>
      <c r="V139" s="1224"/>
      <c r="W139" s="1225"/>
      <c r="X139" s="1186"/>
      <c r="Y139" s="1186"/>
      <c r="Z139" s="1186"/>
      <c r="AA139" s="1186"/>
      <c r="AB139" s="1186"/>
      <c r="AC139" s="1186"/>
      <c r="AD139" s="1186"/>
      <c r="AE139" s="1186"/>
      <c r="AF139" s="1186"/>
      <c r="AG139" s="1186"/>
      <c r="AH139" s="1186"/>
      <c r="AI139" s="1186"/>
      <c r="AJ139" s="1186"/>
      <c r="AK139" s="1186"/>
      <c r="AL139" s="1186"/>
      <c r="AM139" s="1186"/>
      <c r="AN139" s="1186"/>
      <c r="AO139" s="1186"/>
      <c r="AP139" s="1186"/>
      <c r="AQ139" s="1186"/>
      <c r="AR139" s="1394">
        <v>0</v>
      </c>
    </row>
    <row r="140" spans="1:44" s="1778" customFormat="1" ht="17.25" hidden="1" customHeight="1">
      <c r="A140" s="259"/>
      <c r="C140" s="258"/>
      <c r="D140" s="2792"/>
      <c r="E140" s="2781"/>
      <c r="F140" s="2794"/>
      <c r="G140" s="2781"/>
      <c r="H140" s="2783"/>
      <c r="I140" s="2785"/>
      <c r="J140" s="2788"/>
      <c r="K140" s="2779"/>
      <c r="L140" s="2779"/>
      <c r="M140" s="2779"/>
      <c r="N140" s="2777"/>
      <c r="O140" s="2779"/>
      <c r="P140" s="1398"/>
      <c r="Q140" s="1224"/>
      <c r="R140" s="1224"/>
      <c r="S140" s="267"/>
      <c r="T140" s="267"/>
      <c r="U140" s="267"/>
      <c r="V140" s="267"/>
      <c r="W140" s="1225"/>
      <c r="X140" s="1186"/>
      <c r="Y140" s="1186"/>
      <c r="Z140" s="1186"/>
      <c r="AA140" s="1186"/>
      <c r="AB140" s="1186"/>
      <c r="AC140" s="1186"/>
      <c r="AD140" s="1186"/>
      <c r="AE140" s="1186"/>
      <c r="AF140" s="1186"/>
      <c r="AG140" s="1186"/>
      <c r="AH140" s="1186"/>
      <c r="AI140" s="1186"/>
      <c r="AJ140" s="1186"/>
      <c r="AK140" s="1186"/>
      <c r="AL140" s="1186"/>
      <c r="AM140" s="1186"/>
      <c r="AN140" s="1186"/>
      <c r="AO140" s="1186"/>
      <c r="AP140" s="1186"/>
      <c r="AQ140" s="1186"/>
      <c r="AR140" s="1394">
        <v>0</v>
      </c>
    </row>
    <row r="141" spans="1:44" s="1778" customFormat="1" ht="17.25" hidden="1" customHeight="1">
      <c r="A141" s="259"/>
      <c r="C141" s="258"/>
      <c r="D141" s="2792"/>
      <c r="E141" s="2781"/>
      <c r="F141" s="2794"/>
      <c r="G141" s="2781"/>
      <c r="H141" s="2783"/>
      <c r="I141" s="2785"/>
      <c r="J141" s="2788"/>
      <c r="K141" s="2779"/>
      <c r="L141" s="1224"/>
      <c r="M141" s="1224"/>
      <c r="N141" s="1224"/>
      <c r="O141" s="1224"/>
      <c r="P141" s="1224"/>
      <c r="Q141" s="1224"/>
      <c r="R141" s="1224"/>
      <c r="S141" s="267"/>
      <c r="T141" s="267"/>
      <c r="U141" s="267"/>
      <c r="V141" s="267"/>
      <c r="W141" s="1225"/>
      <c r="X141" s="1186"/>
      <c r="Y141" s="1186"/>
      <c r="Z141" s="1186"/>
      <c r="AA141" s="1186"/>
      <c r="AB141" s="1186"/>
      <c r="AC141" s="1186"/>
      <c r="AD141" s="1186"/>
      <c r="AE141" s="1186"/>
      <c r="AF141" s="1186"/>
      <c r="AG141" s="1186"/>
      <c r="AH141" s="1186"/>
      <c r="AI141" s="1186"/>
      <c r="AJ141" s="1186"/>
      <c r="AK141" s="1186"/>
      <c r="AL141" s="1186"/>
      <c r="AM141" s="1186"/>
      <c r="AN141" s="1186"/>
      <c r="AO141" s="1186"/>
      <c r="AP141" s="1186"/>
      <c r="AQ141" s="1186"/>
      <c r="AR141" s="1394">
        <v>0</v>
      </c>
    </row>
    <row r="142" spans="1:44" s="1778" customFormat="1" ht="17.25" hidden="1" customHeight="1">
      <c r="A142" s="259"/>
      <c r="C142" s="258"/>
      <c r="D142" s="2792"/>
      <c r="E142" s="2781"/>
      <c r="F142" s="2795"/>
      <c r="G142" s="2781"/>
      <c r="H142" s="1226"/>
      <c r="I142" s="1227"/>
      <c r="J142" s="1227"/>
      <c r="K142" s="1227"/>
      <c r="L142" s="1227"/>
      <c r="M142" s="1227"/>
      <c r="N142" s="1227"/>
      <c r="O142" s="1227"/>
      <c r="P142" s="1227"/>
      <c r="Q142" s="1227"/>
      <c r="R142" s="1227"/>
      <c r="S142" s="1228"/>
      <c r="T142" s="1228"/>
      <c r="U142" s="1228"/>
      <c r="V142" s="1228"/>
      <c r="W142" s="1229"/>
      <c r="X142" s="1186"/>
      <c r="Y142" s="1186"/>
      <c r="Z142" s="1186"/>
      <c r="AA142" s="1186"/>
      <c r="AB142" s="1186"/>
      <c r="AC142" s="1186"/>
      <c r="AD142" s="1186"/>
      <c r="AE142" s="1186"/>
      <c r="AF142" s="1186"/>
      <c r="AG142" s="1186"/>
      <c r="AH142" s="1186"/>
      <c r="AI142" s="1186"/>
      <c r="AJ142" s="1186"/>
      <c r="AK142" s="1186"/>
      <c r="AL142" s="1186"/>
      <c r="AM142" s="1186"/>
      <c r="AN142" s="1186"/>
      <c r="AO142" s="1186"/>
      <c r="AP142" s="1186"/>
      <c r="AQ142" s="1186"/>
      <c r="AR142" s="1394">
        <v>0</v>
      </c>
    </row>
    <row r="143" spans="1:44" s="1778" customFormat="1" ht="17.25" hidden="1" customHeight="1">
      <c r="A143" s="259"/>
      <c r="C143" s="147"/>
      <c r="D143" s="2791">
        <v>3</v>
      </c>
      <c r="E143" s="2780" t="s">
        <v>304</v>
      </c>
      <c r="F143" s="2793" t="s">
        <v>19</v>
      </c>
      <c r="G143" s="2780"/>
      <c r="H143" s="2782"/>
      <c r="I143" s="2784"/>
      <c r="J143" s="2786"/>
      <c r="K143" s="2778"/>
      <c r="L143" s="2778"/>
      <c r="M143" s="2778"/>
      <c r="N143" s="2789"/>
      <c r="O143" s="2778"/>
      <c r="P143" s="2778"/>
      <c r="Q143" s="2778"/>
      <c r="R143" s="2776"/>
      <c r="S143" s="2778"/>
      <c r="T143" s="1865"/>
      <c r="U143" s="1865"/>
      <c r="V143" s="1867"/>
      <c r="W143" s="1223"/>
      <c r="X143" s="1194"/>
      <c r="Y143" s="1194"/>
      <c r="Z143" s="1194"/>
      <c r="AA143" s="1194"/>
      <c r="AB143" s="1194"/>
      <c r="AC143" s="1194" t="s">
        <v>305</v>
      </c>
      <c r="AD143" s="1194" t="s">
        <v>306</v>
      </c>
      <c r="AE143" s="1194" t="s">
        <v>307</v>
      </c>
      <c r="AF143" s="1194" t="s">
        <v>308</v>
      </c>
      <c r="AG143" s="1194"/>
      <c r="AH143" s="1194" t="str">
        <f>IF($E$143=0,"",$E$143)</f>
        <v>Тариф на подключение (технологическое присоединение) к централизованной системе горячего водоснабжения</v>
      </c>
      <c r="AI143" s="1194" t="str">
        <f>IF($G$143=0,"",$G$143)</f>
        <v/>
      </c>
      <c r="AJ143" s="1194" t="str">
        <f>IF($J$143=0,"",$J$143)</f>
        <v/>
      </c>
      <c r="AK143" s="1194" t="str">
        <f>IF($K$143="нет","без дифференциации",IF($N$143=0,"",$N$143))</f>
        <v/>
      </c>
      <c r="AL143" s="1194" t="str">
        <f>IF($O$143="нет","без дифференциации",IF($R$143=0,"",$R$143))</f>
        <v/>
      </c>
      <c r="AM143" s="1194" t="str">
        <f>IF($S$143="нет","без дифференциации",IF($V$143=0,"",$V$143))</f>
        <v/>
      </c>
      <c r="AN143" s="1698">
        <f>$I$143</f>
        <v>0</v>
      </c>
      <c r="AO143" s="1194" t="str">
        <f>$I$143&amp;"."&amp;$M$143</f>
        <v>.</v>
      </c>
      <c r="AP143" s="1193" t="str">
        <f>$I$143&amp;"."&amp;$M$143&amp;"."&amp;$Q$143</f>
        <v>..</v>
      </c>
      <c r="AQ143" s="1193" t="str">
        <f>$I$143&amp;"."&amp;$M$143&amp;"."&amp;$Q$143&amp;"."&amp;$U$143</f>
        <v>...</v>
      </c>
      <c r="AR143" s="1394">
        <v>0</v>
      </c>
    </row>
    <row r="144" spans="1:44" s="1778" customFormat="1" ht="17.25" hidden="1" customHeight="1">
      <c r="A144" s="259"/>
      <c r="C144" s="258"/>
      <c r="D144" s="2791"/>
      <c r="E144" s="2780"/>
      <c r="F144" s="2794"/>
      <c r="G144" s="2780"/>
      <c r="H144" s="2783"/>
      <c r="I144" s="2785"/>
      <c r="J144" s="2787"/>
      <c r="K144" s="2779"/>
      <c r="L144" s="2779"/>
      <c r="M144" s="2779"/>
      <c r="N144" s="2790"/>
      <c r="O144" s="2779"/>
      <c r="P144" s="2779"/>
      <c r="Q144" s="2779"/>
      <c r="R144" s="2777"/>
      <c r="S144" s="2779"/>
      <c r="T144" s="1870"/>
      <c r="U144" s="1870"/>
      <c r="V144" s="1870"/>
      <c r="W144" s="1871"/>
      <c r="X144" s="1193"/>
      <c r="Y144" s="1193"/>
      <c r="Z144" s="1193"/>
      <c r="AA144" s="1193"/>
      <c r="AB144" s="1193"/>
      <c r="AC144" s="1193"/>
      <c r="AD144" s="1193"/>
      <c r="AE144" s="1193"/>
      <c r="AF144" s="1193"/>
      <c r="AG144" s="1193"/>
      <c r="AH144" s="1193"/>
      <c r="AI144" s="1193"/>
      <c r="AJ144" s="1193"/>
      <c r="AK144" s="1193"/>
      <c r="AL144" s="1193"/>
      <c r="AM144" s="1193"/>
      <c r="AN144" s="1193"/>
      <c r="AO144" s="1193"/>
      <c r="AP144" s="1193"/>
      <c r="AQ144" s="1193"/>
      <c r="AR144" s="1394">
        <v>0</v>
      </c>
    </row>
    <row r="145" spans="1:44" s="1778" customFormat="1" ht="17.25" hidden="1" customHeight="1">
      <c r="A145" s="259"/>
      <c r="C145" s="258"/>
      <c r="D145" s="2792"/>
      <c r="E145" s="2781"/>
      <c r="F145" s="2794"/>
      <c r="G145" s="2781"/>
      <c r="H145" s="2783"/>
      <c r="I145" s="2785"/>
      <c r="J145" s="2788"/>
      <c r="K145" s="2779"/>
      <c r="L145" s="2779"/>
      <c r="M145" s="2779"/>
      <c r="N145" s="2777"/>
      <c r="O145" s="2779"/>
      <c r="P145" s="1866"/>
      <c r="Q145" s="1870"/>
      <c r="R145" s="1870"/>
      <c r="S145" s="267"/>
      <c r="T145" s="267"/>
      <c r="U145" s="267"/>
      <c r="V145" s="267"/>
      <c r="W145" s="1871"/>
      <c r="X145" s="1193"/>
      <c r="Y145" s="1193"/>
      <c r="Z145" s="1193"/>
      <c r="AA145" s="1193"/>
      <c r="AB145" s="1193"/>
      <c r="AC145" s="1193"/>
      <c r="AD145" s="1193"/>
      <c r="AE145" s="1193"/>
      <c r="AF145" s="1193"/>
      <c r="AG145" s="1193"/>
      <c r="AH145" s="1193"/>
      <c r="AI145" s="1193"/>
      <c r="AJ145" s="1193"/>
      <c r="AK145" s="1193"/>
      <c r="AL145" s="1193"/>
      <c r="AM145" s="1193"/>
      <c r="AN145" s="1193"/>
      <c r="AO145" s="1193"/>
      <c r="AP145" s="1193"/>
      <c r="AQ145" s="1193"/>
      <c r="AR145" s="1394">
        <v>0</v>
      </c>
    </row>
    <row r="146" spans="1:44" s="1778" customFormat="1" ht="17.25" hidden="1" customHeight="1">
      <c r="A146" s="259"/>
      <c r="C146" s="258"/>
      <c r="D146" s="2792"/>
      <c r="E146" s="2781"/>
      <c r="F146" s="2794"/>
      <c r="G146" s="2781"/>
      <c r="H146" s="2783"/>
      <c r="I146" s="2785"/>
      <c r="J146" s="2788"/>
      <c r="K146" s="2779"/>
      <c r="L146" s="1870"/>
      <c r="M146" s="1870"/>
      <c r="N146" s="1870"/>
      <c r="O146" s="1870"/>
      <c r="P146" s="1870"/>
      <c r="Q146" s="1870"/>
      <c r="R146" s="1870"/>
      <c r="S146" s="267"/>
      <c r="T146" s="267"/>
      <c r="U146" s="267"/>
      <c r="V146" s="267"/>
      <c r="W146" s="1871"/>
      <c r="X146" s="1193"/>
      <c r="Y146" s="1193"/>
      <c r="Z146" s="1193"/>
      <c r="AA146" s="1193"/>
      <c r="AB146" s="1193"/>
      <c r="AC146" s="1193"/>
      <c r="AD146" s="1193"/>
      <c r="AE146" s="1193"/>
      <c r="AF146" s="1193"/>
      <c r="AG146" s="1193"/>
      <c r="AH146" s="1193"/>
      <c r="AI146" s="1193"/>
      <c r="AJ146" s="1193"/>
      <c r="AK146" s="1193"/>
      <c r="AL146" s="1193"/>
      <c r="AM146" s="1193"/>
      <c r="AN146" s="1193"/>
      <c r="AO146" s="1193"/>
      <c r="AP146" s="1193"/>
      <c r="AQ146" s="1193"/>
      <c r="AR146" s="1394">
        <v>0</v>
      </c>
    </row>
    <row r="147" spans="1:44" s="1778" customFormat="1" ht="17.25" hidden="1" customHeight="1">
      <c r="A147" s="259"/>
      <c r="C147" s="258"/>
      <c r="D147" s="2792"/>
      <c r="E147" s="2781"/>
      <c r="F147" s="2795"/>
      <c r="G147" s="2781"/>
      <c r="H147" s="1226"/>
      <c r="I147" s="1868"/>
      <c r="J147" s="1868"/>
      <c r="K147" s="1868"/>
      <c r="L147" s="1868"/>
      <c r="M147" s="1868"/>
      <c r="N147" s="1868"/>
      <c r="O147" s="1868"/>
      <c r="P147" s="1868"/>
      <c r="Q147" s="1868"/>
      <c r="R147" s="1868"/>
      <c r="S147" s="1228"/>
      <c r="T147" s="1228"/>
      <c r="U147" s="1228"/>
      <c r="V147" s="1228"/>
      <c r="W147" s="1869"/>
      <c r="X147" s="1193"/>
      <c r="Y147" s="1193"/>
      <c r="Z147" s="1193"/>
      <c r="AA147" s="1193"/>
      <c r="AB147" s="1193"/>
      <c r="AC147" s="1193"/>
      <c r="AD147" s="1193"/>
      <c r="AE147" s="1193"/>
      <c r="AF147" s="1193"/>
      <c r="AG147" s="1193"/>
      <c r="AH147" s="1193"/>
      <c r="AI147" s="1193"/>
      <c r="AJ147" s="1193"/>
      <c r="AK147" s="1193"/>
      <c r="AL147" s="1193"/>
      <c r="AM147" s="1193"/>
      <c r="AN147" s="1193"/>
      <c r="AO147" s="1193"/>
      <c r="AP147" s="1193"/>
      <c r="AQ147" s="1193"/>
      <c r="AR147" s="1394">
        <v>0</v>
      </c>
    </row>
    <row r="148" spans="1:44" s="1778" customFormat="1" ht="11.25" hidden="1" customHeight="1">
      <c r="A148" s="215"/>
      <c r="B148" s="215"/>
      <c r="Y148" s="1186"/>
      <c r="Z148" s="1186"/>
      <c r="AA148" s="1186"/>
      <c r="AB148" s="1186"/>
      <c r="AC148" s="1186"/>
      <c r="AD148" s="1186"/>
      <c r="AE148" s="1186"/>
      <c r="AF148" s="1186"/>
      <c r="AG148" s="1186"/>
      <c r="AH148" s="1186"/>
      <c r="AI148" s="1186"/>
      <c r="AJ148" s="1186"/>
      <c r="AK148" s="1186"/>
      <c r="AL148" s="1186"/>
      <c r="AM148" s="1186"/>
      <c r="AN148" s="1186"/>
      <c r="AO148" s="1186"/>
      <c r="AP148" s="1186"/>
      <c r="AQ148" s="1186"/>
      <c r="AR148" s="1394">
        <v>0</v>
      </c>
    </row>
    <row r="149" spans="1:44" s="1778" customFormat="1" ht="17.25" hidden="1" customHeight="1">
      <c r="A149" s="259"/>
      <c r="C149" s="147"/>
      <c r="D149" s="2791">
        <v>1</v>
      </c>
      <c r="E149" s="2780" t="s">
        <v>309</v>
      </c>
      <c r="F149" s="2793" t="s">
        <v>19</v>
      </c>
      <c r="G149" s="2780"/>
      <c r="H149" s="2782"/>
      <c r="I149" s="2784"/>
      <c r="J149" s="2786"/>
      <c r="K149" s="2778"/>
      <c r="L149" s="2778"/>
      <c r="M149" s="2778"/>
      <c r="N149" s="2789"/>
      <c r="O149" s="2778"/>
      <c r="P149" s="2778"/>
      <c r="Q149" s="2778"/>
      <c r="R149" s="2776"/>
      <c r="S149" s="2778"/>
      <c r="T149" s="1397"/>
      <c r="U149" s="1397"/>
      <c r="V149" s="1399"/>
      <c r="W149" s="1223"/>
      <c r="Y149" s="1194"/>
      <c r="Z149" s="1194"/>
      <c r="AA149" s="1194"/>
      <c r="AB149" s="1194"/>
      <c r="AC149" s="1194" t="s">
        <v>310</v>
      </c>
      <c r="AD149" s="1194" t="s">
        <v>311</v>
      </c>
      <c r="AE149" s="1194" t="s">
        <v>312</v>
      </c>
      <c r="AF149" s="1194" t="s">
        <v>313</v>
      </c>
      <c r="AG149" s="1194"/>
      <c r="AH149" s="1194" t="str">
        <f>IF($E$149=0,"",$E$149)</f>
        <v>Тариф на водоотведение</v>
      </c>
      <c r="AI149" s="1194" t="str">
        <f>IF($G$149=0,"",$G$149)</f>
        <v/>
      </c>
      <c r="AJ149" s="1194" t="str">
        <f>IF($J$149=0,"",$J$149)</f>
        <v/>
      </c>
      <c r="AK149" s="1194" t="str">
        <f>IF($K$149="нет","без дифференциации",IF($N$149=0,"",$N$149))</f>
        <v/>
      </c>
      <c r="AL149" s="1194" t="str">
        <f>IF($O$149="нет","без дифференциации",IF($R$149=0,"",$R$149))</f>
        <v/>
      </c>
      <c r="AM149" s="1194" t="str">
        <f>IF($S$149="нет","без дифференциации",IF($V$149=0,"",$V$149))</f>
        <v/>
      </c>
      <c r="AN149" s="1194">
        <f>$I$149</f>
        <v>0</v>
      </c>
      <c r="AO149" s="1194" t="str">
        <f>$I$149&amp;"."&amp;$M$149</f>
        <v>.</v>
      </c>
      <c r="AP149" s="1194" t="str">
        <f>$I$149&amp;"."&amp;$M$149&amp;"."&amp;$Q$149</f>
        <v>..</v>
      </c>
      <c r="AQ149" s="1194" t="str">
        <f>$I$149&amp;"."&amp;$M$149&amp;"."&amp;$Q$149&amp;"."&amp;$U$149</f>
        <v>...</v>
      </c>
      <c r="AR149" s="1394">
        <v>0</v>
      </c>
    </row>
    <row r="150" spans="1:44" s="1778" customFormat="1" ht="17.25" hidden="1" customHeight="1">
      <c r="A150" s="259"/>
      <c r="C150" s="258"/>
      <c r="D150" s="2791"/>
      <c r="E150" s="2780"/>
      <c r="F150" s="2794"/>
      <c r="G150" s="2780"/>
      <c r="H150" s="2783"/>
      <c r="I150" s="2785"/>
      <c r="J150" s="2787"/>
      <c r="K150" s="2779"/>
      <c r="L150" s="2779"/>
      <c r="M150" s="2779"/>
      <c r="N150" s="2790"/>
      <c r="O150" s="2779"/>
      <c r="P150" s="2779"/>
      <c r="Q150" s="2779"/>
      <c r="R150" s="2777"/>
      <c r="S150" s="2779"/>
      <c r="T150" s="1224"/>
      <c r="U150" s="1224"/>
      <c r="V150" s="1224"/>
      <c r="W150" s="1225"/>
      <c r="Y150" s="1186"/>
      <c r="Z150" s="1186"/>
      <c r="AA150" s="1186"/>
      <c r="AB150" s="1186"/>
      <c r="AC150" s="1186"/>
      <c r="AD150" s="1186"/>
      <c r="AE150" s="1186"/>
      <c r="AF150" s="1186"/>
      <c r="AG150" s="1186"/>
      <c r="AH150" s="1186"/>
      <c r="AI150" s="1186"/>
      <c r="AJ150" s="1186"/>
      <c r="AK150" s="1186"/>
      <c r="AL150" s="1186"/>
      <c r="AM150" s="1186"/>
      <c r="AN150" s="1186"/>
      <c r="AO150" s="1186"/>
      <c r="AP150" s="1186"/>
      <c r="AQ150" s="1186"/>
      <c r="AR150" s="1394">
        <v>0</v>
      </c>
    </row>
    <row r="151" spans="1:44" s="1778" customFormat="1" ht="17.25" hidden="1" customHeight="1">
      <c r="A151" s="259"/>
      <c r="C151" s="147"/>
      <c r="D151" s="2791"/>
      <c r="E151" s="2780"/>
      <c r="F151" s="2794"/>
      <c r="G151" s="2780"/>
      <c r="H151" s="2783"/>
      <c r="I151" s="2785"/>
      <c r="J151" s="2788"/>
      <c r="K151" s="2779"/>
      <c r="L151" s="2779"/>
      <c r="M151" s="2779"/>
      <c r="N151" s="2777"/>
      <c r="O151" s="2779"/>
      <c r="P151" s="1398"/>
      <c r="Q151" s="1224"/>
      <c r="R151" s="1224"/>
      <c r="S151" s="267"/>
      <c r="T151" s="267"/>
      <c r="U151" s="267"/>
      <c r="V151" s="267"/>
      <c r="W151" s="1225"/>
      <c r="Y151" s="1194"/>
      <c r="Z151" s="1194"/>
      <c r="AA151" s="1194"/>
      <c r="AB151" s="1194"/>
      <c r="AC151" s="1194"/>
      <c r="AD151" s="1194"/>
      <c r="AE151" s="1194"/>
      <c r="AF151" s="1194"/>
      <c r="AG151" s="1194"/>
      <c r="AH151" s="1194"/>
      <c r="AI151" s="1194"/>
      <c r="AJ151" s="1194"/>
      <c r="AK151" s="1194"/>
      <c r="AL151" s="1194"/>
      <c r="AM151" s="1194"/>
      <c r="AN151" s="1194"/>
      <c r="AO151" s="1194"/>
      <c r="AP151" s="1194"/>
      <c r="AQ151" s="1194"/>
      <c r="AR151" s="1394">
        <v>0</v>
      </c>
    </row>
    <row r="152" spans="1:44" s="1778" customFormat="1" ht="17.25" hidden="1" customHeight="1">
      <c r="A152" s="259"/>
      <c r="C152" s="258"/>
      <c r="D152" s="2791"/>
      <c r="E152" s="2780"/>
      <c r="F152" s="2794"/>
      <c r="G152" s="2780"/>
      <c r="H152" s="2783"/>
      <c r="I152" s="2785"/>
      <c r="J152" s="2788"/>
      <c r="K152" s="2779"/>
      <c r="L152" s="1224"/>
      <c r="M152" s="1224"/>
      <c r="N152" s="1224"/>
      <c r="O152" s="1224"/>
      <c r="P152" s="1224"/>
      <c r="Q152" s="1224"/>
      <c r="R152" s="1224"/>
      <c r="S152" s="267"/>
      <c r="T152" s="267"/>
      <c r="U152" s="267"/>
      <c r="V152" s="267"/>
      <c r="W152" s="1225"/>
      <c r="Y152" s="1186"/>
      <c r="Z152" s="1186"/>
      <c r="AA152" s="1186"/>
      <c r="AB152" s="1186"/>
      <c r="AC152" s="1186"/>
      <c r="AD152" s="1186"/>
      <c r="AE152" s="1186"/>
      <c r="AF152" s="1186"/>
      <c r="AG152" s="1186"/>
      <c r="AH152" s="1186"/>
      <c r="AI152" s="1186"/>
      <c r="AJ152" s="1186"/>
      <c r="AK152" s="1186"/>
      <c r="AL152" s="1186"/>
      <c r="AM152" s="1186"/>
      <c r="AN152" s="1186"/>
      <c r="AO152" s="1186"/>
      <c r="AP152" s="1186"/>
      <c r="AQ152" s="1186"/>
      <c r="AR152" s="1394">
        <v>0</v>
      </c>
    </row>
    <row r="153" spans="1:44" s="1778" customFormat="1" ht="17.25" hidden="1" customHeight="1">
      <c r="A153" s="259"/>
      <c r="C153" s="258"/>
      <c r="D153" s="2792"/>
      <c r="E153" s="2781"/>
      <c r="F153" s="2795"/>
      <c r="G153" s="2781"/>
      <c r="H153" s="1226"/>
      <c r="I153" s="1227"/>
      <c r="J153" s="1227"/>
      <c r="K153" s="1227"/>
      <c r="L153" s="1227"/>
      <c r="M153" s="1227"/>
      <c r="N153" s="1227"/>
      <c r="O153" s="1227"/>
      <c r="P153" s="1227"/>
      <c r="Q153" s="1227"/>
      <c r="R153" s="1227"/>
      <c r="S153" s="1228"/>
      <c r="T153" s="1228"/>
      <c r="U153" s="1228"/>
      <c r="V153" s="1228"/>
      <c r="W153" s="1229"/>
      <c r="Y153" s="1186"/>
      <c r="Z153" s="1186"/>
      <c r="AA153" s="1186"/>
      <c r="AB153" s="1186"/>
      <c r="AC153" s="1186"/>
      <c r="AD153" s="1186"/>
      <c r="AE153" s="1186"/>
      <c r="AF153" s="1186"/>
      <c r="AG153" s="1186"/>
      <c r="AH153" s="1186"/>
      <c r="AI153" s="1186"/>
      <c r="AJ153" s="1186"/>
      <c r="AK153" s="1186"/>
      <c r="AL153" s="1186"/>
      <c r="AM153" s="1186"/>
      <c r="AN153" s="1186"/>
      <c r="AO153" s="1186"/>
      <c r="AP153" s="1186"/>
      <c r="AQ153" s="1186"/>
      <c r="AR153" s="1394">
        <v>0</v>
      </c>
    </row>
    <row r="154" spans="1:44" s="1778" customFormat="1" ht="17.25" hidden="1" customHeight="1">
      <c r="A154" s="259"/>
      <c r="C154" s="147"/>
      <c r="D154" s="2791">
        <v>2</v>
      </c>
      <c r="E154" s="2780" t="s">
        <v>314</v>
      </c>
      <c r="F154" s="2793" t="s">
        <v>19</v>
      </c>
      <c r="G154" s="2780"/>
      <c r="H154" s="2782"/>
      <c r="I154" s="2784"/>
      <c r="J154" s="2786"/>
      <c r="K154" s="2778"/>
      <c r="L154" s="2778"/>
      <c r="M154" s="2778"/>
      <c r="N154" s="2789"/>
      <c r="O154" s="2778"/>
      <c r="P154" s="2778"/>
      <c r="Q154" s="2778"/>
      <c r="R154" s="2776"/>
      <c r="S154" s="2778"/>
      <c r="T154" s="1397"/>
      <c r="U154" s="1397"/>
      <c r="V154" s="1399"/>
      <c r="W154" s="1223"/>
      <c r="X154" s="1194"/>
      <c r="Y154" s="1194"/>
      <c r="Z154" s="1194"/>
      <c r="AA154" s="1194"/>
      <c r="AB154" s="1194"/>
      <c r="AC154" s="1194" t="s">
        <v>315</v>
      </c>
      <c r="AD154" s="1194" t="s">
        <v>316</v>
      </c>
      <c r="AE154" s="1194" t="s">
        <v>317</v>
      </c>
      <c r="AF154" s="1194" t="s">
        <v>318</v>
      </c>
      <c r="AG154" s="1194"/>
      <c r="AH154" s="1194" t="str">
        <f>IF($E$154=0,"",$E$154)</f>
        <v>Тариф на транспортировку сточных вод</v>
      </c>
      <c r="AI154" s="1194" t="str">
        <f>IF($G$154=0,"",$G$154)</f>
        <v/>
      </c>
      <c r="AJ154" s="1194" t="str">
        <f>IF($J$154=0,"",$J$154)</f>
        <v/>
      </c>
      <c r="AK154" s="1194" t="str">
        <f>IF($K$154="нет","без дифференциации",IF($N$154=0,"",$N$154))</f>
        <v/>
      </c>
      <c r="AL154" s="1194" t="str">
        <f>IF($O$154="нет","без дифференциации",IF($R$154=0,"",$R$154))</f>
        <v/>
      </c>
      <c r="AM154" s="1194" t="str">
        <f>IF($S$154="нет","без дифференциации",IF($V$154=0,"",$V$154))</f>
        <v/>
      </c>
      <c r="AN154" s="1698">
        <f>$I$154</f>
        <v>0</v>
      </c>
      <c r="AO154" s="1194" t="str">
        <f>$I$154&amp;"."&amp;$M$154</f>
        <v>.</v>
      </c>
      <c r="AP154" s="1186" t="str">
        <f>$I$154&amp;"."&amp;$M$154&amp;"."&amp;$Q$154</f>
        <v>..</v>
      </c>
      <c r="AQ154" s="1186" t="str">
        <f>$I$154&amp;"."&amp;$M$154&amp;"."&amp;$Q$154&amp;"."&amp;$U$154</f>
        <v>...</v>
      </c>
      <c r="AR154" s="1394">
        <v>0</v>
      </c>
    </row>
    <row r="155" spans="1:44" s="1778" customFormat="1" ht="17.25" hidden="1" customHeight="1">
      <c r="A155" s="259"/>
      <c r="C155" s="258"/>
      <c r="D155" s="2791"/>
      <c r="E155" s="2780"/>
      <c r="F155" s="2794"/>
      <c r="G155" s="2780"/>
      <c r="H155" s="2783"/>
      <c r="I155" s="2785"/>
      <c r="J155" s="2787"/>
      <c r="K155" s="2779"/>
      <c r="L155" s="2779"/>
      <c r="M155" s="2779"/>
      <c r="N155" s="2790"/>
      <c r="O155" s="2779"/>
      <c r="P155" s="2779"/>
      <c r="Q155" s="2779"/>
      <c r="R155" s="2777"/>
      <c r="S155" s="2779"/>
      <c r="T155" s="1224"/>
      <c r="U155" s="1224"/>
      <c r="V155" s="1224"/>
      <c r="W155" s="1225"/>
      <c r="X155" s="1186"/>
      <c r="Y155" s="1186"/>
      <c r="Z155" s="1186"/>
      <c r="AA155" s="1186"/>
      <c r="AB155" s="1186"/>
      <c r="AC155" s="1186"/>
      <c r="AD155" s="1186"/>
      <c r="AE155" s="1186"/>
      <c r="AF155" s="1186"/>
      <c r="AG155" s="1186"/>
      <c r="AH155" s="1186"/>
      <c r="AI155" s="1186"/>
      <c r="AJ155" s="1186"/>
      <c r="AK155" s="1186"/>
      <c r="AL155" s="1186"/>
      <c r="AM155" s="1186"/>
      <c r="AN155" s="1186"/>
      <c r="AO155" s="1186"/>
      <c r="AP155" s="1186"/>
      <c r="AQ155" s="1186"/>
      <c r="AR155" s="1394">
        <v>0</v>
      </c>
    </row>
    <row r="156" spans="1:44" s="1778" customFormat="1" ht="17.25" hidden="1" customHeight="1">
      <c r="A156" s="259"/>
      <c r="C156" s="258"/>
      <c r="D156" s="2792"/>
      <c r="E156" s="2781"/>
      <c r="F156" s="2794"/>
      <c r="G156" s="2781"/>
      <c r="H156" s="2783"/>
      <c r="I156" s="2785"/>
      <c r="J156" s="2788"/>
      <c r="K156" s="2779"/>
      <c r="L156" s="2779"/>
      <c r="M156" s="2779"/>
      <c r="N156" s="2777"/>
      <c r="O156" s="2779"/>
      <c r="P156" s="1398"/>
      <c r="Q156" s="1224"/>
      <c r="R156" s="1224"/>
      <c r="S156" s="267"/>
      <c r="T156" s="267"/>
      <c r="U156" s="267"/>
      <c r="V156" s="267"/>
      <c r="W156" s="1225"/>
      <c r="X156" s="1186"/>
      <c r="Y156" s="1186"/>
      <c r="Z156" s="1186"/>
      <c r="AA156" s="1186"/>
      <c r="AB156" s="1186"/>
      <c r="AC156" s="1186"/>
      <c r="AD156" s="1186"/>
      <c r="AE156" s="1186"/>
      <c r="AF156" s="1186"/>
      <c r="AG156" s="1186"/>
      <c r="AH156" s="1186"/>
      <c r="AI156" s="1186"/>
      <c r="AJ156" s="1186"/>
      <c r="AK156" s="1186"/>
      <c r="AL156" s="1186"/>
      <c r="AM156" s="1186"/>
      <c r="AN156" s="1186"/>
      <c r="AO156" s="1186"/>
      <c r="AP156" s="1186"/>
      <c r="AQ156" s="1186"/>
      <c r="AR156" s="1394">
        <v>0</v>
      </c>
    </row>
    <row r="157" spans="1:44" s="1778" customFormat="1" ht="17.25" hidden="1" customHeight="1">
      <c r="A157" s="259"/>
      <c r="C157" s="258"/>
      <c r="D157" s="2792"/>
      <c r="E157" s="2781"/>
      <c r="F157" s="2794"/>
      <c r="G157" s="2781"/>
      <c r="H157" s="2783"/>
      <c r="I157" s="2785"/>
      <c r="J157" s="2788"/>
      <c r="K157" s="2779"/>
      <c r="L157" s="1224"/>
      <c r="M157" s="1224"/>
      <c r="N157" s="1224"/>
      <c r="O157" s="1224"/>
      <c r="P157" s="1224"/>
      <c r="Q157" s="1224"/>
      <c r="R157" s="1224"/>
      <c r="S157" s="267"/>
      <c r="T157" s="267"/>
      <c r="U157" s="267"/>
      <c r="V157" s="267"/>
      <c r="W157" s="1225"/>
      <c r="X157" s="1186"/>
      <c r="Y157" s="1186"/>
      <c r="Z157" s="1186"/>
      <c r="AA157" s="1186"/>
      <c r="AB157" s="1186"/>
      <c r="AC157" s="1186"/>
      <c r="AD157" s="1186"/>
      <c r="AE157" s="1186"/>
      <c r="AF157" s="1186"/>
      <c r="AG157" s="1186"/>
      <c r="AH157" s="1186"/>
      <c r="AI157" s="1186"/>
      <c r="AJ157" s="1186"/>
      <c r="AK157" s="1186"/>
      <c r="AL157" s="1186"/>
      <c r="AM157" s="1186"/>
      <c r="AN157" s="1186"/>
      <c r="AO157" s="1186"/>
      <c r="AP157" s="1186"/>
      <c r="AQ157" s="1186"/>
      <c r="AR157" s="1394">
        <v>0</v>
      </c>
    </row>
    <row r="158" spans="1:44" s="1778" customFormat="1" ht="17.25" hidden="1" customHeight="1">
      <c r="A158" s="259"/>
      <c r="C158" s="258"/>
      <c r="D158" s="2792"/>
      <c r="E158" s="2781"/>
      <c r="F158" s="2795"/>
      <c r="G158" s="2781"/>
      <c r="H158" s="1226"/>
      <c r="I158" s="1227"/>
      <c r="J158" s="1227"/>
      <c r="K158" s="1227"/>
      <c r="L158" s="1227"/>
      <c r="M158" s="1227"/>
      <c r="N158" s="1227"/>
      <c r="O158" s="1227"/>
      <c r="P158" s="1227"/>
      <c r="Q158" s="1227"/>
      <c r="R158" s="1227"/>
      <c r="S158" s="1228"/>
      <c r="T158" s="1228"/>
      <c r="U158" s="1228"/>
      <c r="V158" s="1228"/>
      <c r="W158" s="1229"/>
      <c r="X158" s="1186"/>
      <c r="Y158" s="1186"/>
      <c r="Z158" s="1186"/>
      <c r="AA158" s="1186"/>
      <c r="AB158" s="1186"/>
      <c r="AC158" s="1186"/>
      <c r="AD158" s="1186"/>
      <c r="AE158" s="1186"/>
      <c r="AF158" s="1186"/>
      <c r="AG158" s="1186"/>
      <c r="AH158" s="1186"/>
      <c r="AI158" s="1186"/>
      <c r="AJ158" s="1186"/>
      <c r="AK158" s="1186"/>
      <c r="AL158" s="1186"/>
      <c r="AM158" s="1186"/>
      <c r="AN158" s="1186"/>
      <c r="AO158" s="1186"/>
      <c r="AP158" s="1186"/>
      <c r="AQ158" s="1186"/>
      <c r="AR158" s="1394">
        <v>0</v>
      </c>
    </row>
    <row r="159" spans="1:44" s="1778" customFormat="1" ht="17.25" hidden="1" customHeight="1">
      <c r="A159" s="259"/>
      <c r="C159" s="147"/>
      <c r="D159" s="2791">
        <v>3</v>
      </c>
      <c r="E159" s="2780" t="s">
        <v>319</v>
      </c>
      <c r="F159" s="2793" t="s">
        <v>19</v>
      </c>
      <c r="G159" s="2780"/>
      <c r="H159" s="2782"/>
      <c r="I159" s="2784"/>
      <c r="J159" s="2786"/>
      <c r="K159" s="2778"/>
      <c r="L159" s="2778"/>
      <c r="M159" s="2778"/>
      <c r="N159" s="2789"/>
      <c r="O159" s="2778"/>
      <c r="P159" s="2778"/>
      <c r="Q159" s="2778"/>
      <c r="R159" s="2776"/>
      <c r="S159" s="2778"/>
      <c r="T159" s="1865"/>
      <c r="U159" s="1865"/>
      <c r="V159" s="1867"/>
      <c r="W159" s="1223"/>
      <c r="X159" s="1194"/>
      <c r="Y159" s="1194"/>
      <c r="Z159" s="1194"/>
      <c r="AA159" s="1194"/>
      <c r="AB159" s="1194"/>
      <c r="AC159" s="1194" t="s">
        <v>320</v>
      </c>
      <c r="AD159" s="1194" t="s">
        <v>321</v>
      </c>
      <c r="AE159" s="1194" t="s">
        <v>322</v>
      </c>
      <c r="AF159" s="1194" t="s">
        <v>323</v>
      </c>
      <c r="AG159" s="1194"/>
      <c r="AH159" s="1194" t="str">
        <f>IF($E$159=0,"",$E$159)</f>
        <v>Тариф на подключение (технологическое присоединение) к централизованной системе водоотведения</v>
      </c>
      <c r="AI159" s="1194" t="str">
        <f>IF($G$159=0,"",$G$159)</f>
        <v/>
      </c>
      <c r="AJ159" s="1194" t="str">
        <f>IF($J$159=0,"",$J$159)</f>
        <v/>
      </c>
      <c r="AK159" s="1194" t="str">
        <f>IF($K$159="нет","без дифференциации",IF($N$159=0,"",$N$159))</f>
        <v/>
      </c>
      <c r="AL159" s="1194" t="str">
        <f>IF($O$159="нет","без дифференциации",IF($R$159=0,"",$R$159))</f>
        <v/>
      </c>
      <c r="AM159" s="1194" t="str">
        <f>IF($S$159="нет","без дифференциации",IF($V$159=0,"",$V$159))</f>
        <v/>
      </c>
      <c r="AN159" s="1698">
        <f>$I$159</f>
        <v>0</v>
      </c>
      <c r="AO159" s="1194" t="str">
        <f>$I$159&amp;"."&amp;$M$159</f>
        <v>.</v>
      </c>
      <c r="AP159" s="1193" t="str">
        <f>$I$159&amp;"."&amp;$M$159&amp;"."&amp;$Q$159</f>
        <v>..</v>
      </c>
      <c r="AQ159" s="1193" t="str">
        <f>$I$159&amp;"."&amp;$M$159&amp;"."&amp;$Q$159&amp;"."&amp;$U$159</f>
        <v>...</v>
      </c>
      <c r="AR159" s="1394">
        <v>0</v>
      </c>
    </row>
    <row r="160" spans="1:44" s="1778" customFormat="1" ht="17.25" hidden="1" customHeight="1">
      <c r="A160" s="259"/>
      <c r="C160" s="258"/>
      <c r="D160" s="2791"/>
      <c r="E160" s="2780"/>
      <c r="F160" s="2794"/>
      <c r="G160" s="2780"/>
      <c r="H160" s="2783"/>
      <c r="I160" s="2785"/>
      <c r="J160" s="2787"/>
      <c r="K160" s="2779"/>
      <c r="L160" s="2779"/>
      <c r="M160" s="2779"/>
      <c r="N160" s="2790"/>
      <c r="O160" s="2779"/>
      <c r="P160" s="2779"/>
      <c r="Q160" s="2779"/>
      <c r="R160" s="2777"/>
      <c r="S160" s="2779"/>
      <c r="T160" s="1870"/>
      <c r="U160" s="1870"/>
      <c r="V160" s="1870"/>
      <c r="W160" s="1871"/>
      <c r="X160" s="1193"/>
      <c r="Y160" s="1193"/>
      <c r="Z160" s="1193"/>
      <c r="AA160" s="1193"/>
      <c r="AB160" s="1193"/>
      <c r="AC160" s="1193"/>
      <c r="AD160" s="1193"/>
      <c r="AE160" s="1193"/>
      <c r="AF160" s="1193"/>
      <c r="AG160" s="1193"/>
      <c r="AH160" s="1193"/>
      <c r="AI160" s="1193"/>
      <c r="AJ160" s="1193"/>
      <c r="AK160" s="1193"/>
      <c r="AL160" s="1193"/>
      <c r="AM160" s="1193"/>
      <c r="AN160" s="1193"/>
      <c r="AO160" s="1193"/>
      <c r="AP160" s="1193"/>
      <c r="AQ160" s="1193"/>
      <c r="AR160" s="1394">
        <v>0</v>
      </c>
    </row>
    <row r="161" spans="1:44" s="1778" customFormat="1" ht="17.25" hidden="1" customHeight="1">
      <c r="A161" s="259"/>
      <c r="C161" s="258"/>
      <c r="D161" s="2792"/>
      <c r="E161" s="2781"/>
      <c r="F161" s="2794"/>
      <c r="G161" s="2781"/>
      <c r="H161" s="2783"/>
      <c r="I161" s="2785"/>
      <c r="J161" s="2788"/>
      <c r="K161" s="2779"/>
      <c r="L161" s="2779"/>
      <c r="M161" s="2779"/>
      <c r="N161" s="2777"/>
      <c r="O161" s="2779"/>
      <c r="P161" s="1866"/>
      <c r="Q161" s="1870"/>
      <c r="R161" s="1870"/>
      <c r="S161" s="267"/>
      <c r="T161" s="267"/>
      <c r="U161" s="267"/>
      <c r="V161" s="267"/>
      <c r="W161" s="1871"/>
      <c r="X161" s="1193"/>
      <c r="Y161" s="1193"/>
      <c r="Z161" s="1193"/>
      <c r="AA161" s="1193"/>
      <c r="AB161" s="1193"/>
      <c r="AC161" s="1193"/>
      <c r="AD161" s="1193"/>
      <c r="AE161" s="1193"/>
      <c r="AF161" s="1193"/>
      <c r="AG161" s="1193"/>
      <c r="AH161" s="1193"/>
      <c r="AI161" s="1193"/>
      <c r="AJ161" s="1193"/>
      <c r="AK161" s="1193"/>
      <c r="AL161" s="1193"/>
      <c r="AM161" s="1193"/>
      <c r="AN161" s="1193"/>
      <c r="AO161" s="1193"/>
      <c r="AP161" s="1193"/>
      <c r="AQ161" s="1193"/>
      <c r="AR161" s="1394">
        <v>0</v>
      </c>
    </row>
    <row r="162" spans="1:44" s="1778" customFormat="1" ht="17.25" hidden="1" customHeight="1">
      <c r="A162" s="259"/>
      <c r="C162" s="258"/>
      <c r="D162" s="2792"/>
      <c r="E162" s="2781"/>
      <c r="F162" s="2794"/>
      <c r="G162" s="2781"/>
      <c r="H162" s="2783"/>
      <c r="I162" s="2785"/>
      <c r="J162" s="2788"/>
      <c r="K162" s="2779"/>
      <c r="L162" s="1870"/>
      <c r="M162" s="1870"/>
      <c r="N162" s="1870"/>
      <c r="O162" s="1870"/>
      <c r="P162" s="1870"/>
      <c r="Q162" s="1870"/>
      <c r="R162" s="1870"/>
      <c r="S162" s="267"/>
      <c r="T162" s="267"/>
      <c r="U162" s="267"/>
      <c r="V162" s="267"/>
      <c r="W162" s="1871"/>
      <c r="X162" s="1193"/>
      <c r="Y162" s="1193"/>
      <c r="Z162" s="1193"/>
      <c r="AA162" s="1193"/>
      <c r="AB162" s="1193"/>
      <c r="AC162" s="1193"/>
      <c r="AD162" s="1193"/>
      <c r="AE162" s="1193"/>
      <c r="AF162" s="1193"/>
      <c r="AG162" s="1193"/>
      <c r="AH162" s="1193"/>
      <c r="AI162" s="1193"/>
      <c r="AJ162" s="1193"/>
      <c r="AK162" s="1193"/>
      <c r="AL162" s="1193"/>
      <c r="AM162" s="1193"/>
      <c r="AN162" s="1193"/>
      <c r="AO162" s="1193"/>
      <c r="AP162" s="1193"/>
      <c r="AQ162" s="1193"/>
      <c r="AR162" s="1394">
        <v>0</v>
      </c>
    </row>
    <row r="163" spans="1:44" s="1778" customFormat="1" ht="17.25" hidden="1" customHeight="1">
      <c r="A163" s="259"/>
      <c r="C163" s="258"/>
      <c r="D163" s="2792"/>
      <c r="E163" s="2781"/>
      <c r="F163" s="2795"/>
      <c r="G163" s="2781"/>
      <c r="H163" s="1226"/>
      <c r="I163" s="1868"/>
      <c r="J163" s="1868"/>
      <c r="K163" s="1868"/>
      <c r="L163" s="1868"/>
      <c r="M163" s="1868"/>
      <c r="N163" s="1868"/>
      <c r="O163" s="1868"/>
      <c r="P163" s="1868"/>
      <c r="Q163" s="1868"/>
      <c r="R163" s="1868"/>
      <c r="S163" s="1228"/>
      <c r="T163" s="1228"/>
      <c r="U163" s="1228"/>
      <c r="V163" s="1228"/>
      <c r="W163" s="1869"/>
      <c r="X163" s="1193"/>
      <c r="Y163" s="1193"/>
      <c r="Z163" s="1193"/>
      <c r="AA163" s="1193"/>
      <c r="AB163" s="1193"/>
      <c r="AC163" s="1193"/>
      <c r="AD163" s="1193"/>
      <c r="AE163" s="1193"/>
      <c r="AF163" s="1193"/>
      <c r="AG163" s="1193"/>
      <c r="AH163" s="1193"/>
      <c r="AI163" s="1193"/>
      <c r="AJ163" s="1193"/>
      <c r="AK163" s="1193"/>
      <c r="AL163" s="1193"/>
      <c r="AM163" s="1193"/>
      <c r="AN163" s="1193"/>
      <c r="AO163" s="1193"/>
      <c r="AP163" s="1193"/>
      <c r="AQ163" s="1193"/>
      <c r="AR163" s="1394">
        <v>0</v>
      </c>
    </row>
    <row r="164" spans="1:44" ht="11.25" customHeight="1">
      <c r="AR164" s="44">
        <v>11</v>
      </c>
    </row>
    <row r="165" spans="1:44" ht="11.25" customHeight="1">
      <c r="AR165" s="44">
        <v>11</v>
      </c>
    </row>
    <row r="166" spans="1:44" ht="11.25" customHeight="1">
      <c r="AR166" s="44">
        <v>11</v>
      </c>
    </row>
    <row r="167" spans="1:44" ht="11.25" customHeight="1">
      <c r="E167" s="1277"/>
      <c r="AR167" s="44">
        <v>11</v>
      </c>
    </row>
    <row r="168" spans="1:44" ht="11.25" customHeight="1">
      <c r="E168" s="1277"/>
      <c r="AR168" s="44">
        <v>11</v>
      </c>
    </row>
    <row r="169" spans="1:44" ht="11.25" customHeight="1">
      <c r="E169" s="1277"/>
      <c r="AR169" s="44">
        <v>11</v>
      </c>
    </row>
    <row r="170" spans="1:44" ht="11.25" customHeight="1">
      <c r="E170" s="1277"/>
      <c r="AR170" s="44">
        <v>11</v>
      </c>
    </row>
    <row r="171" spans="1:44" ht="11.25" customHeight="1">
      <c r="E171" s="1277"/>
      <c r="AR171" s="44">
        <v>11</v>
      </c>
    </row>
    <row r="172" spans="1:44" ht="11.25" customHeight="1">
      <c r="E172" s="1277"/>
      <c r="AR172" s="44">
        <v>11</v>
      </c>
    </row>
    <row r="173" spans="1:44" ht="11.25" customHeight="1">
      <c r="E173" s="1277"/>
      <c r="AR173" s="44">
        <v>11</v>
      </c>
    </row>
    <row r="174" spans="1:44" ht="11.25" hidden="1" customHeight="1">
      <c r="A174" s="91" t="s">
        <v>87</v>
      </c>
      <c r="B174" s="91">
        <v>0</v>
      </c>
      <c r="C174" s="44">
        <v>3</v>
      </c>
      <c r="D174" s="44">
        <v>6</v>
      </c>
      <c r="E174" s="44">
        <v>42</v>
      </c>
      <c r="F174" s="1210">
        <v>14</v>
      </c>
      <c r="G174" s="44">
        <v>42</v>
      </c>
      <c r="H174" s="44">
        <v>3</v>
      </c>
      <c r="I174" s="44">
        <v>5</v>
      </c>
      <c r="J174" s="44">
        <v>47</v>
      </c>
      <c r="K174" s="44">
        <v>3</v>
      </c>
      <c r="L174" s="44">
        <v>3</v>
      </c>
      <c r="M174" s="44">
        <v>5</v>
      </c>
      <c r="N174" s="44">
        <v>28</v>
      </c>
      <c r="O174" s="44">
        <v>3</v>
      </c>
      <c r="P174" s="44">
        <v>3</v>
      </c>
      <c r="Q174" s="44">
        <v>5</v>
      </c>
      <c r="R174" s="44">
        <v>34</v>
      </c>
      <c r="S174" s="220">
        <v>0</v>
      </c>
      <c r="T174" s="220">
        <v>0</v>
      </c>
      <c r="U174" s="220">
        <v>0</v>
      </c>
      <c r="V174" s="220">
        <v>0</v>
      </c>
      <c r="W174" s="44">
        <v>30</v>
      </c>
      <c r="X174" s="44">
        <v>3</v>
      </c>
      <c r="Y174" s="1186">
        <v>0</v>
      </c>
      <c r="Z174" s="1186">
        <v>0</v>
      </c>
      <c r="AA174" s="1186">
        <v>0</v>
      </c>
      <c r="AB174" s="1186">
        <v>0</v>
      </c>
      <c r="AC174" s="1186">
        <v>0</v>
      </c>
      <c r="AD174" s="1186">
        <v>0</v>
      </c>
      <c r="AE174" s="1186">
        <v>0</v>
      </c>
      <c r="AF174" s="1186">
        <v>0</v>
      </c>
      <c r="AG174" s="1186">
        <v>0</v>
      </c>
      <c r="AH174" s="1186">
        <v>0</v>
      </c>
      <c r="AI174" s="1186">
        <v>0</v>
      </c>
      <c r="AJ174" s="1186">
        <v>0</v>
      </c>
      <c r="AK174" s="1186">
        <v>0</v>
      </c>
      <c r="AL174" s="1186">
        <v>0</v>
      </c>
      <c r="AM174" s="1186">
        <v>0</v>
      </c>
      <c r="AN174" s="1186">
        <v>0</v>
      </c>
      <c r="AO174" s="1186">
        <v>0</v>
      </c>
      <c r="AP174" s="1186">
        <v>0</v>
      </c>
      <c r="AQ174" s="1186">
        <v>0</v>
      </c>
      <c r="AR174" s="44">
        <v>11</v>
      </c>
    </row>
  </sheetData>
  <sheetProtection formatColumns="0" formatRows="0" insertRows="0" deleteColumns="0" deleteRows="0" sort="0" autoFilter="0"/>
  <mergeCells count="463">
    <mergeCell ref="H46:H49"/>
    <mergeCell ref="I46:I49"/>
    <mergeCell ref="J46:J49"/>
    <mergeCell ref="K46:K49"/>
    <mergeCell ref="L46:L48"/>
    <mergeCell ref="M46:M48"/>
    <mergeCell ref="N46:N48"/>
    <mergeCell ref="S46:S47"/>
    <mergeCell ref="O46:O48"/>
    <mergeCell ref="P46:P47"/>
    <mergeCell ref="Q46:Q47"/>
    <mergeCell ref="R46:R47"/>
    <mergeCell ref="H42:H45"/>
    <mergeCell ref="I42:I45"/>
    <mergeCell ref="J42:J45"/>
    <mergeCell ref="K42:K45"/>
    <mergeCell ref="L42:L44"/>
    <mergeCell ref="M42:M44"/>
    <mergeCell ref="N42:N44"/>
    <mergeCell ref="S42:S43"/>
    <mergeCell ref="O42:O44"/>
    <mergeCell ref="P42:P43"/>
    <mergeCell ref="Q42:Q43"/>
    <mergeCell ref="R42:R43"/>
    <mergeCell ref="H38:H41"/>
    <mergeCell ref="I38:I41"/>
    <mergeCell ref="J38:J41"/>
    <mergeCell ref="K38:K41"/>
    <mergeCell ref="L38:L40"/>
    <mergeCell ref="M38:M40"/>
    <mergeCell ref="N38:N40"/>
    <mergeCell ref="S38:S39"/>
    <mergeCell ref="O38:O40"/>
    <mergeCell ref="P38:P39"/>
    <mergeCell ref="Q38:Q39"/>
    <mergeCell ref="R38:R39"/>
    <mergeCell ref="N30:N32"/>
    <mergeCell ref="S30:S31"/>
    <mergeCell ref="O30:O32"/>
    <mergeCell ref="P30:P31"/>
    <mergeCell ref="Q30:Q31"/>
    <mergeCell ref="R30:R31"/>
    <mergeCell ref="H34:H37"/>
    <mergeCell ref="I34:I37"/>
    <mergeCell ref="J34:J37"/>
    <mergeCell ref="K34:K37"/>
    <mergeCell ref="L34:L36"/>
    <mergeCell ref="M34:M36"/>
    <mergeCell ref="N34:N36"/>
    <mergeCell ref="S34:S35"/>
    <mergeCell ref="O34:O36"/>
    <mergeCell ref="P34:P35"/>
    <mergeCell ref="Q34:Q35"/>
    <mergeCell ref="R34:R35"/>
    <mergeCell ref="S22:S23"/>
    <mergeCell ref="O22:O24"/>
    <mergeCell ref="P22:P23"/>
    <mergeCell ref="Q22:Q23"/>
    <mergeCell ref="R22:R23"/>
    <mergeCell ref="H26:H29"/>
    <mergeCell ref="I26:I29"/>
    <mergeCell ref="J26:J29"/>
    <mergeCell ref="K26:K29"/>
    <mergeCell ref="L26:L28"/>
    <mergeCell ref="M26:M28"/>
    <mergeCell ref="N26:N28"/>
    <mergeCell ref="S26:S27"/>
    <mergeCell ref="O26:O28"/>
    <mergeCell ref="P26:P27"/>
    <mergeCell ref="Q26:Q27"/>
    <mergeCell ref="R26:R27"/>
    <mergeCell ref="S18:S19"/>
    <mergeCell ref="P18:P19"/>
    <mergeCell ref="Q18:Q19"/>
    <mergeCell ref="R18:R19"/>
    <mergeCell ref="K18:K21"/>
    <mergeCell ref="M18:M20"/>
    <mergeCell ref="L18:L20"/>
    <mergeCell ref="N18:N20"/>
    <mergeCell ref="J18:J21"/>
    <mergeCell ref="D86:D90"/>
    <mergeCell ref="M127:M129"/>
    <mergeCell ref="M86:M88"/>
    <mergeCell ref="N86:N88"/>
    <mergeCell ref="O86:O88"/>
    <mergeCell ref="P86:P87"/>
    <mergeCell ref="Q86:Q87"/>
    <mergeCell ref="R86:R87"/>
    <mergeCell ref="S86:S87"/>
    <mergeCell ref="D91:D95"/>
    <mergeCell ref="E91:E95"/>
    <mergeCell ref="F91:F95"/>
    <mergeCell ref="G91:G95"/>
    <mergeCell ref="H91:H94"/>
    <mergeCell ref="I91:I94"/>
    <mergeCell ref="J91:J94"/>
    <mergeCell ref="K91:K94"/>
    <mergeCell ref="L91:L93"/>
    <mergeCell ref="M91:M93"/>
    <mergeCell ref="N91:N93"/>
    <mergeCell ref="O91:O93"/>
    <mergeCell ref="P91:P92"/>
    <mergeCell ref="Q91:Q92"/>
    <mergeCell ref="R91:R92"/>
    <mergeCell ref="S91:S92"/>
    <mergeCell ref="E86:E90"/>
    <mergeCell ref="F86:F90"/>
    <mergeCell ref="G86:G90"/>
    <mergeCell ref="H86:H89"/>
    <mergeCell ref="I86:I89"/>
    <mergeCell ref="J86:J89"/>
    <mergeCell ref="K86:K89"/>
    <mergeCell ref="L86:L88"/>
    <mergeCell ref="D117:D121"/>
    <mergeCell ref="E117:E121"/>
    <mergeCell ref="M117:M119"/>
    <mergeCell ref="D122:D126"/>
    <mergeCell ref="E122:E126"/>
    <mergeCell ref="F122:F126"/>
    <mergeCell ref="G122:G126"/>
    <mergeCell ref="H122:H125"/>
    <mergeCell ref="I122:I125"/>
    <mergeCell ref="J122:J125"/>
    <mergeCell ref="K122:K125"/>
    <mergeCell ref="L122:L124"/>
    <mergeCell ref="F117:F121"/>
    <mergeCell ref="G117:G121"/>
    <mergeCell ref="H117:H120"/>
    <mergeCell ref="I117:I120"/>
    <mergeCell ref="J117:J120"/>
    <mergeCell ref="L112:L114"/>
    <mergeCell ref="N107:N109"/>
    <mergeCell ref="O107:O109"/>
    <mergeCell ref="P107:P108"/>
    <mergeCell ref="Q107:Q108"/>
    <mergeCell ref="R107:R108"/>
    <mergeCell ref="S107:S108"/>
    <mergeCell ref="M112:M114"/>
    <mergeCell ref="M122:M124"/>
    <mergeCell ref="N122:N124"/>
    <mergeCell ref="O122:O124"/>
    <mergeCell ref="P122:P123"/>
    <mergeCell ref="Q122:Q123"/>
    <mergeCell ref="R122:R123"/>
    <mergeCell ref="S122:S123"/>
    <mergeCell ref="N112:N114"/>
    <mergeCell ref="O112:O114"/>
    <mergeCell ref="P112:P113"/>
    <mergeCell ref="S117:S118"/>
    <mergeCell ref="N117:N119"/>
    <mergeCell ref="O117:O119"/>
    <mergeCell ref="P117:P118"/>
    <mergeCell ref="Q117:Q118"/>
    <mergeCell ref="R117:R118"/>
    <mergeCell ref="W9:W10"/>
    <mergeCell ref="O9:R9"/>
    <mergeCell ref="K9:N9"/>
    <mergeCell ref="T11:U11"/>
    <mergeCell ref="S9:V9"/>
    <mergeCell ref="T10:U10"/>
    <mergeCell ref="D107:D111"/>
    <mergeCell ref="E107:E111"/>
    <mergeCell ref="D112:D116"/>
    <mergeCell ref="E112:E116"/>
    <mergeCell ref="F112:F116"/>
    <mergeCell ref="G112:G116"/>
    <mergeCell ref="H112:H115"/>
    <mergeCell ref="I112:I115"/>
    <mergeCell ref="J112:J115"/>
    <mergeCell ref="F107:F111"/>
    <mergeCell ref="G107:G111"/>
    <mergeCell ref="H107:H110"/>
    <mergeCell ref="I107:I110"/>
    <mergeCell ref="J107:J110"/>
    <mergeCell ref="K13:K16"/>
    <mergeCell ref="G18:G50"/>
    <mergeCell ref="N56:N58"/>
    <mergeCell ref="Q112:Q113"/>
    <mergeCell ref="D5:J5"/>
    <mergeCell ref="D9:D10"/>
    <mergeCell ref="D7:J7"/>
    <mergeCell ref="G9:G10"/>
    <mergeCell ref="H9:I10"/>
    <mergeCell ref="D6:J6"/>
    <mergeCell ref="D13:D17"/>
    <mergeCell ref="E13:E17"/>
    <mergeCell ref="G13:G17"/>
    <mergeCell ref="H13:H16"/>
    <mergeCell ref="J9:J10"/>
    <mergeCell ref="H11:I11"/>
    <mergeCell ref="E9:F9"/>
    <mergeCell ref="F13:F17"/>
    <mergeCell ref="I13:I16"/>
    <mergeCell ref="J13:J16"/>
    <mergeCell ref="L10:M10"/>
    <mergeCell ref="P10:Q10"/>
    <mergeCell ref="L11:M11"/>
    <mergeCell ref="P11:Q11"/>
    <mergeCell ref="K56:K59"/>
    <mergeCell ref="L56:L58"/>
    <mergeCell ref="P13:P14"/>
    <mergeCell ref="P56:P57"/>
    <mergeCell ref="Q56:Q57"/>
    <mergeCell ref="L13:L15"/>
    <mergeCell ref="M13:M15"/>
    <mergeCell ref="N13:N15"/>
    <mergeCell ref="O13:O15"/>
    <mergeCell ref="Q13:Q14"/>
    <mergeCell ref="P51:P52"/>
    <mergeCell ref="Q51:Q52"/>
    <mergeCell ref="O18:O20"/>
    <mergeCell ref="K22:K25"/>
    <mergeCell ref="L22:L24"/>
    <mergeCell ref="M22:M24"/>
    <mergeCell ref="N22:N24"/>
    <mergeCell ref="K30:K33"/>
    <mergeCell ref="L30:L32"/>
    <mergeCell ref="M30:M32"/>
    <mergeCell ref="D18:D50"/>
    <mergeCell ref="E18:E50"/>
    <mergeCell ref="F18:F50"/>
    <mergeCell ref="M56:M58"/>
    <mergeCell ref="R56:R57"/>
    <mergeCell ref="O56:O58"/>
    <mergeCell ref="D56:D60"/>
    <mergeCell ref="E56:E60"/>
    <mergeCell ref="F56:F60"/>
    <mergeCell ref="H56:H59"/>
    <mergeCell ref="I56:I59"/>
    <mergeCell ref="J56:J59"/>
    <mergeCell ref="G56:G60"/>
    <mergeCell ref="D51:D55"/>
    <mergeCell ref="E51:E55"/>
    <mergeCell ref="F51:F55"/>
    <mergeCell ref="H18:H21"/>
    <mergeCell ref="I18:I21"/>
    <mergeCell ref="H22:H25"/>
    <mergeCell ref="I22:I25"/>
    <mergeCell ref="J22:J25"/>
    <mergeCell ref="H30:H33"/>
    <mergeCell ref="I30:I33"/>
    <mergeCell ref="J30:J33"/>
    <mergeCell ref="D81:D85"/>
    <mergeCell ref="E81:E85"/>
    <mergeCell ref="F81:F85"/>
    <mergeCell ref="H81:H84"/>
    <mergeCell ref="N71:N73"/>
    <mergeCell ref="G66:G70"/>
    <mergeCell ref="K66:K69"/>
    <mergeCell ref="G81:G85"/>
    <mergeCell ref="K81:K84"/>
    <mergeCell ref="N81:N83"/>
    <mergeCell ref="I81:I84"/>
    <mergeCell ref="J81:J84"/>
    <mergeCell ref="L81:L83"/>
    <mergeCell ref="M81:M83"/>
    <mergeCell ref="L71:L73"/>
    <mergeCell ref="M71:M73"/>
    <mergeCell ref="K71:K74"/>
    <mergeCell ref="D71:D75"/>
    <mergeCell ref="I71:I74"/>
    <mergeCell ref="J71:J74"/>
    <mergeCell ref="I66:I69"/>
    <mergeCell ref="J66:J69"/>
    <mergeCell ref="L66:L68"/>
    <mergeCell ref="M66:M68"/>
    <mergeCell ref="D66:D70"/>
    <mergeCell ref="Q61:Q62"/>
    <mergeCell ref="R61:R62"/>
    <mergeCell ref="D76:D80"/>
    <mergeCell ref="E76:E80"/>
    <mergeCell ref="F76:F80"/>
    <mergeCell ref="G76:G80"/>
    <mergeCell ref="H76:H79"/>
    <mergeCell ref="I76:I79"/>
    <mergeCell ref="J76:J79"/>
    <mergeCell ref="K76:K79"/>
    <mergeCell ref="L76:L78"/>
    <mergeCell ref="D61:D65"/>
    <mergeCell ref="E61:E65"/>
    <mergeCell ref="F61:F65"/>
    <mergeCell ref="H61:H64"/>
    <mergeCell ref="I61:I64"/>
    <mergeCell ref="N61:N63"/>
    <mergeCell ref="P71:P72"/>
    <mergeCell ref="O66:O68"/>
    <mergeCell ref="Q71:Q72"/>
    <mergeCell ref="R71:R72"/>
    <mergeCell ref="O71:O73"/>
    <mergeCell ref="J61:J64"/>
    <mergeCell ref="E71:E75"/>
    <mergeCell ref="F71:F75"/>
    <mergeCell ref="H71:H74"/>
    <mergeCell ref="G71:G75"/>
    <mergeCell ref="G61:G65"/>
    <mergeCell ref="K61:K64"/>
    <mergeCell ref="S61:S62"/>
    <mergeCell ref="S66:S67"/>
    <mergeCell ref="S71:S72"/>
    <mergeCell ref="O61:O63"/>
    <mergeCell ref="E66:E70"/>
    <mergeCell ref="F66:F70"/>
    <mergeCell ref="H66:H69"/>
    <mergeCell ref="L61:L63"/>
    <mergeCell ref="M61:M63"/>
    <mergeCell ref="P66:P67"/>
    <mergeCell ref="Q66:Q67"/>
    <mergeCell ref="R66:R67"/>
    <mergeCell ref="P61:P62"/>
    <mergeCell ref="M133:M135"/>
    <mergeCell ref="N133:N135"/>
    <mergeCell ref="O133:O135"/>
    <mergeCell ref="P133:P134"/>
    <mergeCell ref="Q133:Q134"/>
    <mergeCell ref="R133:R134"/>
    <mergeCell ref="S133:S134"/>
    <mergeCell ref="O81:O83"/>
    <mergeCell ref="E105:W105"/>
    <mergeCell ref="E97:W97"/>
    <mergeCell ref="E98:W98"/>
    <mergeCell ref="E99:W99"/>
    <mergeCell ref="E100:W100"/>
    <mergeCell ref="E101:W101"/>
    <mergeCell ref="L107:L109"/>
    <mergeCell ref="M107:M109"/>
    <mergeCell ref="E103:W103"/>
    <mergeCell ref="E104:W104"/>
    <mergeCell ref="K117:K120"/>
    <mergeCell ref="L117:L119"/>
    <mergeCell ref="R112:R113"/>
    <mergeCell ref="S112:S113"/>
    <mergeCell ref="K112:K115"/>
    <mergeCell ref="K107:K110"/>
    <mergeCell ref="R13:R14"/>
    <mergeCell ref="S13:S14"/>
    <mergeCell ref="M76:M78"/>
    <mergeCell ref="N76:N78"/>
    <mergeCell ref="O76:O78"/>
    <mergeCell ref="N66:N68"/>
    <mergeCell ref="D133:D137"/>
    <mergeCell ref="E133:E137"/>
    <mergeCell ref="F133:F137"/>
    <mergeCell ref="G133:G137"/>
    <mergeCell ref="H133:H136"/>
    <mergeCell ref="I133:I136"/>
    <mergeCell ref="J133:J136"/>
    <mergeCell ref="K133:K136"/>
    <mergeCell ref="L133:L135"/>
    <mergeCell ref="P81:P82"/>
    <mergeCell ref="Q81:Q82"/>
    <mergeCell ref="R81:R82"/>
    <mergeCell ref="S81:S82"/>
    <mergeCell ref="P76:P77"/>
    <mergeCell ref="Q76:Q77"/>
    <mergeCell ref="R76:R77"/>
    <mergeCell ref="S76:S77"/>
    <mergeCell ref="S56:S57"/>
    <mergeCell ref="S149:S150"/>
    <mergeCell ref="D149:D153"/>
    <mergeCell ref="E149:E153"/>
    <mergeCell ref="F149:F153"/>
    <mergeCell ref="G149:G153"/>
    <mergeCell ref="M138:M140"/>
    <mergeCell ref="N138:N140"/>
    <mergeCell ref="O138:O140"/>
    <mergeCell ref="P138:P139"/>
    <mergeCell ref="Q138:Q139"/>
    <mergeCell ref="R138:R139"/>
    <mergeCell ref="S138:S139"/>
    <mergeCell ref="D138:D142"/>
    <mergeCell ref="E138:E142"/>
    <mergeCell ref="F138:F142"/>
    <mergeCell ref="G138:G142"/>
    <mergeCell ref="H138:H141"/>
    <mergeCell ref="I138:I141"/>
    <mergeCell ref="J138:J141"/>
    <mergeCell ref="K138:K141"/>
    <mergeCell ref="L138:L140"/>
    <mergeCell ref="O149:O151"/>
    <mergeCell ref="M154:M156"/>
    <mergeCell ref="N154:N156"/>
    <mergeCell ref="O154:O156"/>
    <mergeCell ref="P149:P150"/>
    <mergeCell ref="Q149:Q150"/>
    <mergeCell ref="R149:R150"/>
    <mergeCell ref="P154:P155"/>
    <mergeCell ref="Q154:Q155"/>
    <mergeCell ref="R154:R155"/>
    <mergeCell ref="F127:F131"/>
    <mergeCell ref="G127:G131"/>
    <mergeCell ref="H127:H130"/>
    <mergeCell ref="I127:I130"/>
    <mergeCell ref="J127:J130"/>
    <mergeCell ref="K127:K130"/>
    <mergeCell ref="L127:L129"/>
    <mergeCell ref="S154:S155"/>
    <mergeCell ref="D154:D158"/>
    <mergeCell ref="E154:E158"/>
    <mergeCell ref="F154:F158"/>
    <mergeCell ref="G154:G158"/>
    <mergeCell ref="H154:H157"/>
    <mergeCell ref="I154:I157"/>
    <mergeCell ref="J154:J157"/>
    <mergeCell ref="K154:K157"/>
    <mergeCell ref="L154:L156"/>
    <mergeCell ref="H149:H152"/>
    <mergeCell ref="I149:I152"/>
    <mergeCell ref="J149:J152"/>
    <mergeCell ref="K149:K152"/>
    <mergeCell ref="L149:L151"/>
    <mergeCell ref="M149:M151"/>
    <mergeCell ref="N149:N151"/>
    <mergeCell ref="N127:N129"/>
    <mergeCell ref="O127:O129"/>
    <mergeCell ref="P127:P128"/>
    <mergeCell ref="Q127:Q128"/>
    <mergeCell ref="R127:R128"/>
    <mergeCell ref="S127:S128"/>
    <mergeCell ref="D143:D147"/>
    <mergeCell ref="E143:E147"/>
    <mergeCell ref="F143:F147"/>
    <mergeCell ref="G143:G147"/>
    <mergeCell ref="H143:H146"/>
    <mergeCell ref="I143:I146"/>
    <mergeCell ref="J143:J146"/>
    <mergeCell ref="K143:K146"/>
    <mergeCell ref="L143:L145"/>
    <mergeCell ref="M143:M145"/>
    <mergeCell ref="N143:N145"/>
    <mergeCell ref="O143:O145"/>
    <mergeCell ref="P143:P144"/>
    <mergeCell ref="Q143:Q144"/>
    <mergeCell ref="R143:R144"/>
    <mergeCell ref="S143:S144"/>
    <mergeCell ref="D127:D131"/>
    <mergeCell ref="E127:E131"/>
    <mergeCell ref="M159:M161"/>
    <mergeCell ref="N159:N161"/>
    <mergeCell ref="O159:O161"/>
    <mergeCell ref="P159:P160"/>
    <mergeCell ref="Q159:Q160"/>
    <mergeCell ref="R159:R160"/>
    <mergeCell ref="S159:S160"/>
    <mergeCell ref="D159:D163"/>
    <mergeCell ref="E159:E163"/>
    <mergeCell ref="F159:F163"/>
    <mergeCell ref="G159:G163"/>
    <mergeCell ref="H159:H162"/>
    <mergeCell ref="I159:I162"/>
    <mergeCell ref="J159:J162"/>
    <mergeCell ref="K159:K162"/>
    <mergeCell ref="L159:L161"/>
    <mergeCell ref="R51:R52"/>
    <mergeCell ref="S51:S52"/>
    <mergeCell ref="G51:G55"/>
    <mergeCell ref="H51:H54"/>
    <mergeCell ref="I51:I54"/>
    <mergeCell ref="J51:J54"/>
    <mergeCell ref="K51:K54"/>
    <mergeCell ref="L51:L53"/>
    <mergeCell ref="M51:M53"/>
    <mergeCell ref="N51:N53"/>
    <mergeCell ref="O51:O53"/>
  </mergeCells>
  <dataValidations count="165">
    <dataValidation allowBlank="1" showInputMessage="1" showErrorMessage="1" prompt="Выберите виды деятельности, выполнив двойной щелчок левой кнопки мыши по ячейке." sqref="G49"/>
    <dataValidation allowBlank="1" showInputMessage="1" showErrorMessage="1" prompt="Для выбора выполните двойной щелчок левой клавиши мыши по соответствующей ячейке." sqref="F4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8"/>
    <dataValidation allowBlank="1" showInputMessage="1" showErrorMessage="1" prompt="Выберите виды деятельности, выполнив двойной щелчок левой кнопки мыши по ячейке." sqref="G48"/>
    <dataValidation allowBlank="1" showInputMessage="1" showErrorMessage="1" prompt="Для выбора выполните двойной щелчок левой клавиши мыши по соответствующей ячейке." sqref="F48"/>
    <dataValidation allowBlank="1" showInputMessage="1" showErrorMessage="1" prompt="Для выбора выполните двойной щелчок левой клавиши мыши по соответствующей ячейке." sqref="S47"/>
    <dataValidation type="textLength" operator="lessThanOrEqual" allowBlank="1" showInputMessage="1" showErrorMessage="1" errorTitle="Ошибка" error="Допускается ввод не более 900 символов!" sqref="R4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7"/>
    <dataValidation type="textLength" operator="lessThanOrEqual" allowBlank="1" showInputMessage="1" showErrorMessage="1" errorTitle="Ошибка" error="Допускается ввод не более 900 символов!" sqref="J47">
      <formula1>900</formula1>
    </dataValidation>
    <dataValidation allowBlank="1" showInputMessage="1" showErrorMessage="1" prompt="Выберите виды деятельности, выполнив двойной щелчок левой кнопки мыши по ячейке." sqref="G47"/>
    <dataValidation allowBlank="1" showInputMessage="1" showErrorMessage="1" prompt="Для выбора выполните двойной щелчок левой клавиши мыши по соответствующей ячейке." sqref="F47"/>
    <dataValidation type="textLength" operator="lessThanOrEqual" allowBlank="1" showInputMessage="1" showErrorMessage="1" errorTitle="Ошибка" error="Допускается ввод не более 900 символов!" sqref="W46">
      <formula1>900</formula1>
    </dataValidation>
    <dataValidation type="textLength" operator="lessThanOrEqual" allowBlank="1" showInputMessage="1" showErrorMessage="1" errorTitle="Ошибка" error="Допускается ввод не более 900 символов!" sqref="V46">
      <formula1>900</formula1>
    </dataValidation>
    <dataValidation allowBlank="1" showInputMessage="1" showErrorMessage="1" prompt="Для выбора выполните двойной щелчок левой клавиши мыши по соответствующей ячейке." sqref="S46"/>
    <dataValidation type="textLength" operator="lessThanOrEqual" allowBlank="1" showInputMessage="1" showErrorMessage="1" errorTitle="Ошибка" error="Допускается ввод не более 900 символов!" sqref="R46">
      <formula1>900</formula1>
    </dataValidation>
    <dataValidation allowBlank="1" showInputMessage="1" showErrorMessage="1" prompt="Для выбора выполните двойной щелчок левой клавиши мыши по соответствующей ячейке." sqref="O4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6"/>
    <dataValidation allowBlank="1" showInputMessage="1" showErrorMessage="1" prompt="Для выбора выполните двойной щелчок левой клавиши мыши по соответствующей ячейке." sqref="K46"/>
    <dataValidation type="textLength" operator="lessThanOrEqual" allowBlank="1" showInputMessage="1" showErrorMessage="1" errorTitle="Ошибка" error="Допускается ввод не более 900 символов!" sqref="J46">
      <formula1>900</formula1>
    </dataValidation>
    <dataValidation allowBlank="1" showInputMessage="1" showErrorMessage="1" prompt="Выберите виды деятельности, выполнив двойной щелчок левой кнопки мыши по ячейке." sqref="G46"/>
    <dataValidation allowBlank="1" showInputMessage="1" showErrorMessage="1" prompt="Для выбора выполните двойной щелчок левой клавиши мыши по соответствующей ячейке." sqref="F46"/>
    <dataValidation allowBlank="1" showInputMessage="1" showErrorMessage="1" prompt="Выберите виды деятельности, выполнив двойной щелчок левой кнопки мыши по ячейке." sqref="G45"/>
    <dataValidation allowBlank="1" showInputMessage="1" showErrorMessage="1" prompt="Для выбора выполните двойной щелчок левой клавиши мыши по соответствующей ячейке." sqref="F4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4"/>
    <dataValidation allowBlank="1" showInputMessage="1" showErrorMessage="1" prompt="Выберите виды деятельности, выполнив двойной щелчок левой кнопки мыши по ячейке." sqref="G44"/>
    <dataValidation allowBlank="1" showInputMessage="1" showErrorMessage="1" prompt="Для выбора выполните двойной щелчок левой клавиши мыши по соответствующей ячейке." sqref="F44"/>
    <dataValidation allowBlank="1" showInputMessage="1" showErrorMessage="1" prompt="Для выбора выполните двойной щелчок левой клавиши мыши по соответствующей ячейке." sqref="S43"/>
    <dataValidation type="textLength" operator="lessThanOrEqual" allowBlank="1" showInputMessage="1" showErrorMessage="1" errorTitle="Ошибка" error="Допускается ввод не более 900 символов!" sqref="R4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3"/>
    <dataValidation type="textLength" operator="lessThanOrEqual" allowBlank="1" showInputMessage="1" showErrorMessage="1" errorTitle="Ошибка" error="Допускается ввод не более 900 символов!" sqref="J43">
      <formula1>900</formula1>
    </dataValidation>
    <dataValidation allowBlank="1" showInputMessage="1" showErrorMessage="1" prompt="Выберите виды деятельности, выполнив двойной щелчок левой кнопки мыши по ячейке." sqref="G43"/>
    <dataValidation allowBlank="1" showInputMessage="1" showErrorMessage="1" prompt="Для выбора выполните двойной щелчок левой клавиши мыши по соответствующей ячейке." sqref="F43"/>
    <dataValidation type="textLength" operator="lessThanOrEqual" allowBlank="1" showInputMessage="1" showErrorMessage="1" errorTitle="Ошибка" error="Допускается ввод не более 900 символов!" sqref="W42">
      <formula1>900</formula1>
    </dataValidation>
    <dataValidation type="textLength" operator="lessThanOrEqual" allowBlank="1" showInputMessage="1" showErrorMessage="1" errorTitle="Ошибка" error="Допускается ввод не более 900 символов!" sqref="V42">
      <formula1>900</formula1>
    </dataValidation>
    <dataValidation allowBlank="1" showInputMessage="1" showErrorMessage="1" prompt="Для выбора выполните двойной щелчок левой клавиши мыши по соответствующей ячейке." sqref="S42"/>
    <dataValidation type="textLength" operator="lessThanOrEqual" allowBlank="1" showInputMessage="1" showErrorMessage="1" errorTitle="Ошибка" error="Допускается ввод не более 900 символов!" sqref="R42">
      <formula1>900</formula1>
    </dataValidation>
    <dataValidation allowBlank="1" showInputMessage="1" showErrorMessage="1" prompt="Для выбора выполните двойной щелчок левой клавиши мыши по соответствующей ячейке." sqref="O4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2"/>
    <dataValidation allowBlank="1" showInputMessage="1" showErrorMessage="1" prompt="Для выбора выполните двойной щелчок левой клавиши мыши по соответствующей ячейке." sqref="K42"/>
    <dataValidation type="textLength" operator="lessThanOrEqual" allowBlank="1" showInputMessage="1" showErrorMessage="1" errorTitle="Ошибка" error="Допускается ввод не более 900 символов!" sqref="J42">
      <formula1>900</formula1>
    </dataValidation>
    <dataValidation allowBlank="1" showInputMessage="1" showErrorMessage="1" prompt="Выберите виды деятельности, выполнив двойной щелчок левой кнопки мыши по ячейке." sqref="G42"/>
    <dataValidation allowBlank="1" showInputMessage="1" showErrorMessage="1" prompt="Для выбора выполните двойной щелчок левой клавиши мыши по соответствующей ячейке." sqref="F42"/>
    <dataValidation allowBlank="1" showInputMessage="1" showErrorMessage="1" prompt="Выберите виды деятельности, выполнив двойной щелчок левой кнопки мыши по ячейке." sqref="G41"/>
    <dataValidation allowBlank="1" showInputMessage="1" showErrorMessage="1" prompt="Для выбора выполните двойной щелчок левой клавиши мыши по соответствующей ячейке." sqref="F41"/>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40"/>
    <dataValidation allowBlank="1" showInputMessage="1" showErrorMessage="1" prompt="Выберите виды деятельности, выполнив двойной щелчок левой кнопки мыши по ячейке." sqref="G40"/>
    <dataValidation allowBlank="1" showInputMessage="1" showErrorMessage="1" prompt="Для выбора выполните двойной щелчок левой клавиши мыши по соответствующей ячейке." sqref="F40"/>
    <dataValidation allowBlank="1" showInputMessage="1" showErrorMessage="1" prompt="Для выбора выполните двойной щелчок левой клавиши мыши по соответствующей ячейке." sqref="S39"/>
    <dataValidation type="textLength" operator="lessThanOrEqual" allowBlank="1" showInputMessage="1" showErrorMessage="1" errorTitle="Ошибка" error="Допускается ввод не более 900 символов!" sqref="R3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9"/>
    <dataValidation type="textLength" operator="lessThanOrEqual" allowBlank="1" showInputMessage="1" showErrorMessage="1" errorTitle="Ошибка" error="Допускается ввод не более 900 символов!" sqref="J39">
      <formula1>900</formula1>
    </dataValidation>
    <dataValidation allowBlank="1" showInputMessage="1" showErrorMessage="1" prompt="Выберите виды деятельности, выполнив двойной щелчок левой кнопки мыши по ячейке." sqref="G39"/>
    <dataValidation allowBlank="1" showInputMessage="1" showErrorMessage="1" prompt="Для выбора выполните двойной щелчок левой клавиши мыши по соответствующей ячейке." sqref="F39"/>
    <dataValidation type="textLength" operator="lessThanOrEqual" allowBlank="1" showInputMessage="1" showErrorMessage="1" errorTitle="Ошибка" error="Допускается ввод не более 900 символов!" sqref="W38">
      <formula1>900</formula1>
    </dataValidation>
    <dataValidation type="textLength" operator="lessThanOrEqual" allowBlank="1" showInputMessage="1" showErrorMessage="1" errorTitle="Ошибка" error="Допускается ввод не более 900 символов!" sqref="V38">
      <formula1>900</formula1>
    </dataValidation>
    <dataValidation allowBlank="1" showInputMessage="1" showErrorMessage="1" prompt="Для выбора выполните двойной щелчок левой клавиши мыши по соответствующей ячейке." sqref="S38"/>
    <dataValidation type="textLength" operator="lessThanOrEqual" allowBlank="1" showInputMessage="1" showErrorMessage="1" errorTitle="Ошибка" error="Допускается ввод не более 900 символов!" sqref="R38">
      <formula1>900</formula1>
    </dataValidation>
    <dataValidation allowBlank="1" showInputMessage="1" showErrorMessage="1" prompt="Для выбора выполните двойной щелчок левой клавиши мыши по соответствующей ячейке." sqref="O3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8"/>
    <dataValidation allowBlank="1" showInputMessage="1" showErrorMessage="1" prompt="Для выбора выполните двойной щелчок левой клавиши мыши по соответствующей ячейке." sqref="K38"/>
    <dataValidation type="textLength" operator="lessThanOrEqual" allowBlank="1" showInputMessage="1" showErrorMessage="1" errorTitle="Ошибка" error="Допускается ввод не более 900 символов!" sqref="J38">
      <formula1>900</formula1>
    </dataValidation>
    <dataValidation allowBlank="1" showInputMessage="1" showErrorMessage="1" prompt="Выберите виды деятельности, выполнив двойной щелчок левой кнопки мыши по ячейке." sqref="G38"/>
    <dataValidation allowBlank="1" showInputMessage="1" showErrorMessage="1" prompt="Для выбора выполните двойной щелчок левой клавиши мыши по соответствующей ячейке." sqref="F38"/>
    <dataValidation allowBlank="1" showInputMessage="1" showErrorMessage="1" prompt="Выберите виды деятельности, выполнив двойной щелчок левой кнопки мыши по ячейке." sqref="G37"/>
    <dataValidation allowBlank="1" showInputMessage="1" showErrorMessage="1" prompt="Для выбора выполните двойной щелчок левой клавиши мыши по соответствующей ячейке." sqref="F37"/>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6"/>
    <dataValidation allowBlank="1" showInputMessage="1" showErrorMessage="1" prompt="Выберите виды деятельности, выполнив двойной щелчок левой кнопки мыши по ячейке." sqref="G36"/>
    <dataValidation allowBlank="1" showInputMessage="1" showErrorMessage="1" prompt="Для выбора выполните двойной щелчок левой клавиши мыши по соответствующей ячейке." sqref="F36"/>
    <dataValidation allowBlank="1" showInputMessage="1" showErrorMessage="1" prompt="Для выбора выполните двойной щелчок левой клавиши мыши по соответствующей ячейке." sqref="S35"/>
    <dataValidation type="textLength" operator="lessThanOrEqual" allowBlank="1" showInputMessage="1" showErrorMessage="1" errorTitle="Ошибка" error="Допускается ввод не более 900 символов!" sqref="R35">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5"/>
    <dataValidation type="textLength" operator="lessThanOrEqual" allowBlank="1" showInputMessage="1" showErrorMessage="1" errorTitle="Ошибка" error="Допускается ввод не более 900 символов!" sqref="J35">
      <formula1>900</formula1>
    </dataValidation>
    <dataValidation allowBlank="1" showInputMessage="1" showErrorMessage="1" prompt="Выберите виды деятельности, выполнив двойной щелчок левой кнопки мыши по ячейке." sqref="G35"/>
    <dataValidation allowBlank="1" showInputMessage="1" showErrorMessage="1" prompt="Для выбора выполните двойной щелчок левой клавиши мыши по соответствующей ячейке." sqref="F35"/>
    <dataValidation type="textLength" operator="lessThanOrEqual" allowBlank="1" showInputMessage="1" showErrorMessage="1" errorTitle="Ошибка" error="Допускается ввод не более 900 символов!" sqref="W34">
      <formula1>900</formula1>
    </dataValidation>
    <dataValidation type="textLength" operator="lessThanOrEqual" allowBlank="1" showInputMessage="1" showErrorMessage="1" errorTitle="Ошибка" error="Допускается ввод не более 900 символов!" sqref="V34">
      <formula1>900</formula1>
    </dataValidation>
    <dataValidation allowBlank="1" showInputMessage="1" showErrorMessage="1" prompt="Для выбора выполните двойной щелчок левой клавиши мыши по соответствующей ячейке." sqref="S34"/>
    <dataValidation type="textLength" operator="lessThanOrEqual" allowBlank="1" showInputMessage="1" showErrorMessage="1" errorTitle="Ошибка" error="Допускается ввод не более 900 символов!" sqref="R34">
      <formula1>900</formula1>
    </dataValidation>
    <dataValidation allowBlank="1" showInputMessage="1" showErrorMessage="1" prompt="Для выбора выполните двойной щелчок левой клавиши мыши по соответствующей ячейке." sqref="O34"/>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4"/>
    <dataValidation allowBlank="1" showInputMessage="1" showErrorMessage="1" prompt="Для выбора выполните двойной щелчок левой клавиши мыши по соответствующей ячейке." sqref="K34"/>
    <dataValidation type="textLength" operator="lessThanOrEqual" allowBlank="1" showInputMessage="1" showErrorMessage="1" errorTitle="Ошибка" error="Допускается ввод не более 900 символов!" sqref="J34">
      <formula1>900</formula1>
    </dataValidation>
    <dataValidation allowBlank="1" showInputMessage="1" showErrorMessage="1" prompt="Выберите виды деятельности, выполнив двойной щелчок левой кнопки мыши по ячейке." sqref="G34"/>
    <dataValidation allowBlank="1" showInputMessage="1" showErrorMessage="1" prompt="Для выбора выполните двойной щелчок левой клавиши мыши по соответствующей ячейке." sqref="F34"/>
    <dataValidation allowBlank="1" showInputMessage="1" showErrorMessage="1" prompt="Выберите виды деятельности, выполнив двойной щелчок левой кнопки мыши по ячейке." sqref="G33"/>
    <dataValidation allowBlank="1" showInputMessage="1" showErrorMessage="1" prompt="Для выбора выполните двойной щелчок левой клавиши мыши по соответствующей ячейке." sqref="F33"/>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2"/>
    <dataValidation allowBlank="1" showInputMessage="1" showErrorMessage="1" prompt="Выберите виды деятельности, выполнив двойной щелчок левой кнопки мыши по ячейке." sqref="G32"/>
    <dataValidation allowBlank="1" showInputMessage="1" showErrorMessage="1" prompt="Для выбора выполните двойной щелчок левой клавиши мыши по соответствующей ячейке." sqref="F32"/>
    <dataValidation allowBlank="1" showInputMessage="1" showErrorMessage="1" prompt="Для выбора выполните двойной щелчок левой клавиши мыши по соответствующей ячейке." sqref="S31"/>
    <dataValidation type="textLength" operator="lessThanOrEqual" allowBlank="1" showInputMessage="1" showErrorMessage="1" errorTitle="Ошибка" error="Допускается ввод не более 900 символов!" sqref="R31">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1"/>
    <dataValidation type="textLength" operator="lessThanOrEqual" allowBlank="1" showInputMessage="1" showErrorMessage="1" errorTitle="Ошибка" error="Допускается ввод не более 900 символов!" sqref="J31">
      <formula1>900</formula1>
    </dataValidation>
    <dataValidation allowBlank="1" showInputMessage="1" showErrorMessage="1" prompt="Выберите виды деятельности, выполнив двойной щелчок левой кнопки мыши по ячейке." sqref="G31"/>
    <dataValidation allowBlank="1" showInputMessage="1" showErrorMessage="1" prompt="Для выбора выполните двойной щелчок левой клавиши мыши по соответствующей ячейке." sqref="F31"/>
    <dataValidation type="textLength" operator="lessThanOrEqual" allowBlank="1" showInputMessage="1" showErrorMessage="1" errorTitle="Ошибка" error="Допускается ввод не более 900 символов!" sqref="W30">
      <formula1>900</formula1>
    </dataValidation>
    <dataValidation type="textLength" operator="lessThanOrEqual" allowBlank="1" showInputMessage="1" showErrorMessage="1" errorTitle="Ошибка" error="Допускается ввод не более 900 символов!" sqref="V30">
      <formula1>900</formula1>
    </dataValidation>
    <dataValidation allowBlank="1" showInputMessage="1" showErrorMessage="1" prompt="Для выбора выполните двойной щелчок левой клавиши мыши по соответствующей ячейке." sqref="S30"/>
    <dataValidation type="textLength" operator="lessThanOrEqual" allowBlank="1" showInputMessage="1" showErrorMessage="1" errorTitle="Ошибка" error="Допускается ввод не более 900 символов!" sqref="R30">
      <formula1>900</formula1>
    </dataValidation>
    <dataValidation allowBlank="1" showInputMessage="1" showErrorMessage="1" prompt="Для выбора выполните двойной щелчок левой клавиши мыши по соответствующей ячейке." sqref="O30"/>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30"/>
    <dataValidation allowBlank="1" showInputMessage="1" showErrorMessage="1" prompt="Для выбора выполните двойной щелчок левой клавиши мыши по соответствующей ячейке." sqref="K30"/>
    <dataValidation type="textLength" operator="lessThanOrEqual" allowBlank="1" showInputMessage="1" showErrorMessage="1" errorTitle="Ошибка" error="Допускается ввод не более 900 символов!" sqref="J30">
      <formula1>900</formula1>
    </dataValidation>
    <dataValidation allowBlank="1" showInputMessage="1" showErrorMessage="1" prompt="Выберите виды деятельности, выполнив двойной щелчок левой кнопки мыши по ячейке." sqref="G30"/>
    <dataValidation allowBlank="1" showInputMessage="1" showErrorMessage="1" prompt="Для выбора выполните двойной щелчок левой клавиши мыши по соответствующей ячейке." sqref="F30"/>
    <dataValidation allowBlank="1" showInputMessage="1" showErrorMessage="1" prompt="Выберите виды деятельности, выполнив двойной щелчок левой кнопки мыши по ячейке." sqref="G29"/>
    <dataValidation allowBlank="1" showInputMessage="1" showErrorMessage="1" prompt="Для выбора выполните двойной щелчок левой клавиши мыши по соответствующей ячейке." sqref="F29"/>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8"/>
    <dataValidation allowBlank="1" showInputMessage="1" showErrorMessage="1" prompt="Выберите виды деятельности, выполнив двойной щелчок левой кнопки мыши по ячейке." sqref="G28"/>
    <dataValidation allowBlank="1" showInputMessage="1" showErrorMessage="1" prompt="Для выбора выполните двойной щелчок левой клавиши мыши по соответствующей ячейке." sqref="F28"/>
    <dataValidation allowBlank="1" showInputMessage="1" showErrorMessage="1" prompt="Для выбора выполните двойной щелчок левой клавиши мыши по соответствующей ячейке." sqref="S27"/>
    <dataValidation type="textLength" operator="lessThanOrEqual" allowBlank="1" showInputMessage="1" showErrorMessage="1" errorTitle="Ошибка" error="Допускается ввод не более 900 символов!" sqref="R27">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7"/>
    <dataValidation type="textLength" operator="lessThanOrEqual" allowBlank="1" showInputMessage="1" showErrorMessage="1" errorTitle="Ошибка" error="Допускается ввод не более 900 символов!" sqref="J27">
      <formula1>900</formula1>
    </dataValidation>
    <dataValidation allowBlank="1" showInputMessage="1" showErrorMessage="1" prompt="Выберите виды деятельности, выполнив двойной щелчок левой кнопки мыши по ячейке." sqref="G27"/>
    <dataValidation allowBlank="1" showInputMessage="1" showErrorMessage="1" prompt="Для выбора выполните двойной щелчок левой клавиши мыши по соответствующей ячейке." sqref="F27"/>
    <dataValidation type="textLength" operator="lessThanOrEqual" allowBlank="1" showInputMessage="1" showErrorMessage="1" errorTitle="Ошибка" error="Допускается ввод не более 900 символов!" sqref="W26">
      <formula1>900</formula1>
    </dataValidation>
    <dataValidation type="textLength" operator="lessThanOrEqual" allowBlank="1" showInputMessage="1" showErrorMessage="1" errorTitle="Ошибка" error="Допускается ввод не более 900 символов!" sqref="V26">
      <formula1>900</formula1>
    </dataValidation>
    <dataValidation allowBlank="1" showInputMessage="1" showErrorMessage="1" prompt="Для выбора выполните двойной щелчок левой клавиши мыши по соответствующей ячейке." sqref="S26"/>
    <dataValidation type="textLength" operator="lessThanOrEqual" allowBlank="1" showInputMessage="1" showErrorMessage="1" errorTitle="Ошибка" error="Допускается ввод не более 900 символов!" sqref="R26">
      <formula1>900</formula1>
    </dataValidation>
    <dataValidation allowBlank="1" showInputMessage="1" showErrorMessage="1" prompt="Для выбора выполните двойной щелчок левой клавиши мыши по соответствующей ячейке." sqref="O26"/>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6"/>
    <dataValidation allowBlank="1" showInputMessage="1" showErrorMessage="1" prompt="Для выбора выполните двойной щелчок левой клавиши мыши по соответствующей ячейке." sqref="K26"/>
    <dataValidation type="textLength" operator="lessThanOrEqual" allowBlank="1" showInputMessage="1" showErrorMessage="1" errorTitle="Ошибка" error="Допускается ввод не более 900 символов!" sqref="J26">
      <formula1>900</formula1>
    </dataValidation>
    <dataValidation allowBlank="1" showInputMessage="1" showErrorMessage="1" prompt="Выберите виды деятельности, выполнив двойной щелчок левой кнопки мыши по ячейке." sqref="G26"/>
    <dataValidation allowBlank="1" showInputMessage="1" showErrorMessage="1" prompt="Для выбора выполните двойной щелчок левой клавиши мыши по соответствующей ячейке." sqref="F26"/>
    <dataValidation allowBlank="1" showInputMessage="1" showErrorMessage="1" prompt="Выберите виды деятельности, выполнив двойной щелчок левой кнопки мыши по ячейке." sqref="G25"/>
    <dataValidation allowBlank="1" showInputMessage="1" showErrorMessage="1" prompt="Для выбора выполните двойной щелчок левой клавиши мыши по соответствующей ячейке." sqref="F25"/>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4"/>
    <dataValidation allowBlank="1" showInputMessage="1" showErrorMessage="1" prompt="Выберите виды деятельности, выполнив двойной щелчок левой кнопки мыши по ячейке." sqref="G24"/>
    <dataValidation allowBlank="1" showInputMessage="1" showErrorMessage="1" prompt="Для выбора выполните двойной щелчок левой клавиши мыши по соответствующей ячейке." sqref="F24"/>
    <dataValidation allowBlank="1" showInputMessage="1" showErrorMessage="1" prompt="Для выбора выполните двойной щелчок левой клавиши мыши по соответствующей ячейке." sqref="S23"/>
    <dataValidation type="textLength" operator="lessThanOrEqual" allowBlank="1" showInputMessage="1" showErrorMessage="1" errorTitle="Ошибка" error="Допускается ввод не более 900 символов!" sqref="R23">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3"/>
    <dataValidation type="textLength" operator="lessThanOrEqual" allowBlank="1" showInputMessage="1" showErrorMessage="1" errorTitle="Ошибка" error="Допускается ввод не более 900 символов!" sqref="J23">
      <formula1>900</formula1>
    </dataValidation>
    <dataValidation allowBlank="1" showInputMessage="1" showErrorMessage="1" prompt="Выберите виды деятельности, выполнив двойной щелчок левой кнопки мыши по ячейке." sqref="G23"/>
    <dataValidation allowBlank="1" showInputMessage="1" showErrorMessage="1" prompt="Для выбора выполните двойной щелчок левой клавиши мыши по соответствующей ячейке." sqref="F23"/>
    <dataValidation type="textLength" operator="lessThanOrEqual" allowBlank="1" showInputMessage="1" showErrorMessage="1" errorTitle="Ошибка" error="Допускается ввод не более 900 символов!" sqref="W22">
      <formula1>900</formula1>
    </dataValidation>
    <dataValidation type="textLength" operator="lessThanOrEqual" allowBlank="1" showInputMessage="1" showErrorMessage="1" errorTitle="Ошибка" error="Допускается ввод не более 900 символов!" sqref="V22">
      <formula1>900</formula1>
    </dataValidation>
    <dataValidation allowBlank="1" showInputMessage="1" showErrorMessage="1" prompt="Для выбора выполните двойной щелчок левой клавиши мыши по соответствующей ячейке." sqref="S22"/>
    <dataValidation type="textLength" operator="lessThanOrEqual" allowBlank="1" showInputMessage="1" showErrorMessage="1" errorTitle="Ошибка" error="Допускается ввод не более 900 символов!" sqref="R22">
      <formula1>900</formula1>
    </dataValidation>
    <dataValidation allowBlank="1" showInputMessage="1" showErrorMessage="1" prompt="Для выбора выполните двойной щелчок левой клавиши мыши по соответствующей ячейке." sqref="O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2"/>
    <dataValidation allowBlank="1" showInputMessage="1" showErrorMessage="1" prompt="Для выбора выполните двойной щелчок левой клавиши мыши по соответствующей ячейке." sqref="K22"/>
    <dataValidation type="textLength" operator="lessThanOrEqual" allowBlank="1" showInputMessage="1" showErrorMessage="1" errorTitle="Ошибка" error="Допускается ввод не более 900 символов!" sqref="J22">
      <formula1>900</formula1>
    </dataValidation>
    <dataValidation allowBlank="1" showInputMessage="1" showErrorMessage="1" prompt="Выберите виды деятельности, выполнив двойной щелчок левой кнопки мыши по ячейке." sqref="G22"/>
    <dataValidation allowBlank="1" showInputMessage="1" showErrorMessage="1" prompt="Для выбора выполните двойной щелчок левой клавиши мыши по соответствующей ячейке." sqref="F22"/>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0"/>
    <dataValidation allowBlank="1" showInputMessage="1" showErrorMessage="1" prompt="Для выбора выполните двойной щелчок левой клавиши мыши по соответствующей ячейке." sqref="S19"/>
    <dataValidation type="textLength" operator="lessThanOrEqual" allowBlank="1" showInputMessage="1" showErrorMessage="1" errorTitle="Ошибка" error="Допускается ввод не более 900 символов!" sqref="R19">
      <formula1>900</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
    <dataValidation type="textLength" operator="lessThanOrEqual" allowBlank="1" showInputMessage="1" showErrorMessage="1" errorTitle="Ошибка" error="Допускается ввод не более 900 символов!" sqref="J19">
      <formula1>900</formula1>
    </dataValidation>
    <dataValidation type="textLength" operator="lessThanOrEqual" allowBlank="1" showInputMessage="1" showErrorMessage="1" errorTitle="Ошибка" error="Допускается ввод не более 900 символов!" sqref="W18">
      <formula1>900</formula1>
    </dataValidation>
    <dataValidation type="textLength" operator="lessThanOrEqual" allowBlank="1" showInputMessage="1" showErrorMessage="1" errorTitle="Ошибка" error="Допускается ввод не более 900 символов!" sqref="V18">
      <formula1>900</formula1>
    </dataValidation>
    <dataValidation allowBlank="1" showInputMessage="1" showErrorMessage="1" prompt="Для выбора выполните двойной щелчок левой клавиши мыши по соответствующей ячейке." sqref="S18"/>
    <dataValidation type="textLength" operator="lessThanOrEqual" allowBlank="1" showInputMessage="1" showErrorMessage="1" errorTitle="Ошибка" error="Допускается ввод не более 900 символов!" sqref="R18">
      <formula1>900</formula1>
    </dataValidation>
    <dataValidation allowBlank="1" showInputMessage="1" showErrorMessage="1" prompt="Для выбора выполните двойной щелчок левой клавиши мыши по соответствующей ячейке." sqref="O18"/>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8"/>
    <dataValidation allowBlank="1" showInputMessage="1" showErrorMessage="1" prompt="Для выбора выполните двойной щелчок левой клавиши мыши по соответствующей ячейке." sqref="K18"/>
    <dataValidation type="textLength" operator="lessThanOrEqual" allowBlank="1" showInputMessage="1" showErrorMessage="1" errorTitle="Ошибка" error="Допускается ввод не более 900 символов!" sqref="J18">
      <formula1>900</formula1>
    </dataValidation>
    <dataValidation type="list" allowBlank="1" showInputMessage="1" showErrorMessage="1" errorTitle="Ошибка" error="Выберите значение из списка" prompt="Выберите значение из списка" sqref="E18:E21 E50">
      <formula1>kind_of_tariff_RHEAT</formula1>
    </dataValidation>
    <dataValidation allowBlank="1" showInputMessage="1" showErrorMessage="1" prompt="Выберите виды деятельности, выполнив двойной щелчок левой кнопки мыши по ячейке." sqref="G133:G147 G149:G163 G107:G131 G13:G21 G50:G95"/>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76:N78 N71:N73 N56:N58 N66:N68 N13:N15 N61:N63 N107:N109 N122:N124 N112:N114 N117:N119 N81:N83 N133:N135 N138:N140 N154:N156 N149:N151 N86:N88 N91:N93 N127:N129 N143:N145 N159:N161 N51:N53">
      <formula1>DESCRIPTION_TERRITORY</formula1>
    </dataValidation>
    <dataValidation type="textLength" operator="lessThanOrEqual" allowBlank="1" showInputMessage="1" showErrorMessage="1" errorTitle="Ошибка" error="Допускается ввод не более 900 символов!" sqref="J66:J67 J13:J14 J76:J77 R76:R77 V76:W76 J71:J72 J56:J57 R66:R67 R13:R14 R71:R72 R56:R57 V66:W66 V13:W13 V71:W71 V56:W56 J61:J62 R61:R62 V61:W61 J107:J108 R107:R108 V107:W107 J112:J113 R112:R113 V112:W112 J122:J123 R122:R123 V122:W122 J117:J118 R117:R118 V117:W117 J81:J82 R81:R82 V81:W81 J133:J134 R133:R134 V133:W133 J138:J139 R138:R139 V138:W138 J154:J155 R154:R155 V154:W154 J149:J150 R149:R150 V149:W149 J86:J87 R86:R87 V86:W86 J91:J92 R91:R92 V91:W91 J127:J128 R127:R128 V127:W127 J143:J144 R143:R144 V143:W143 J159:J160 R159:R160 V159:W159 J51:J52 R51:R52 V51:W51">
      <formula1>900</formula1>
    </dataValidation>
    <dataValidation allowBlank="1" showInputMessage="1" showErrorMessage="1" prompt="Для выбора выполните двойной щелчок левой клавиши мыши по соответствующей ячейке." sqref="K66:K67 K13:K14 K76:K77 O76:O77 S76:S77 K71:K72 K56:K57 O66:O67 O71:O72 O56:O57 S66:S67 S71:S72 S56:S57 O13:O14 S13:S14 K61:K62 O61:O62 S61:S62 K107:K108 O107:O108 S107:S108 K112:K113 O112:O113 S112:S113 K122:K123 O122:O123 S122:S123 K117:K118 O117:O118 S81:S82 S117:S118 K81:K82 O81:O82 O159:O160 O133:O134 S133:S134 O138:O139 S138:S139 K133:K134 K138:K139 S127:S128 K154:K155 O154:O155 K149:K150 O149:O150 S154:S155 O143:O144 S149:S150 O86:O87 S86:S87 K86:K87 K91:K92 O91:O92 S91:S92 F107:F131 K127:K128 O127:O128 F133:F147 S143:S144 K143:K144 F149:F163 S159:S160 K159:K160 F13:F21 F50:F95 K51:K52 O51:O52 S51:S52"/>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2" tint="-9.9978637043366805E-2"/>
  </sheetPr>
  <dimension ref="A1:V30"/>
  <sheetViews>
    <sheetView showGridLines="0" zoomScale="90" workbookViewId="0">
      <pane xSplit="8" ySplit="18" topLeftCell="I19" activePane="bottomRight" state="frozen"/>
      <selection pane="topRight" activeCell="I1" sqref="I1"/>
      <selection pane="bottomLeft" activeCell="A19" sqref="A19"/>
      <selection pane="bottomRight"/>
    </sheetView>
  </sheetViews>
  <sheetFormatPr defaultColWidth="10.5703125" defaultRowHeight="15" customHeight="1"/>
  <cols>
    <col min="1" max="1" width="9.140625" style="1559" hidden="1" customWidth="1"/>
    <col min="2" max="2" width="9.140625" style="1562" hidden="1" customWidth="1"/>
    <col min="3" max="3" width="4" style="620" customWidth="1"/>
    <col min="4" max="4" width="6" style="1562" customWidth="1"/>
    <col min="5" max="5" width="47" style="1562" customWidth="1"/>
    <col min="6" max="6" width="9" style="1562" customWidth="1"/>
    <col min="7" max="7" width="25.7109375" style="1562" hidden="1" customWidth="1"/>
    <col min="8" max="8" width="34" style="1562" hidden="1" customWidth="1"/>
    <col min="9" max="9" width="25.7109375" style="1562" customWidth="1"/>
    <col min="10" max="10" width="33" style="1562" customWidth="1"/>
    <col min="11" max="11" width="50" style="1293" customWidth="1"/>
    <col min="12" max="20" width="10" style="1562" customWidth="1"/>
    <col min="21" max="21" width="10" style="612" customWidth="1"/>
    <col min="22" max="22" width="10.5703125" style="1562" hidden="1"/>
  </cols>
  <sheetData>
    <row r="1" spans="1:22" s="1293" customFormat="1" ht="22.5" hidden="1" customHeight="1">
      <c r="C1" s="609"/>
      <c r="G1" s="354">
        <v>4</v>
      </c>
      <c r="I1" s="354">
        <v>4</v>
      </c>
      <c r="U1" s="357"/>
      <c r="V1" s="354" t="s">
        <v>14</v>
      </c>
    </row>
    <row r="2" spans="1:22" s="1562" customFormat="1" ht="15" hidden="1" customHeight="1">
      <c r="A2" s="299"/>
      <c r="C2" s="114"/>
      <c r="D2" s="284"/>
      <c r="E2" s="610"/>
      <c r="F2" s="459"/>
      <c r="G2" s="553"/>
      <c r="H2" s="553"/>
      <c r="I2" s="553"/>
      <c r="J2" s="553"/>
      <c r="U2" s="611"/>
      <c r="V2" s="446">
        <v>0</v>
      </c>
    </row>
    <row r="3" spans="1:22" s="1293" customFormat="1" ht="15" hidden="1" customHeight="1">
      <c r="C3" s="609"/>
      <c r="U3" s="357"/>
      <c r="V3" s="354">
        <v>0</v>
      </c>
    </row>
    <row r="4" spans="1:22" ht="15.75" customHeight="1">
      <c r="C4" s="114"/>
      <c r="D4" s="446"/>
      <c r="E4" s="446"/>
      <c r="F4" s="446"/>
      <c r="G4" s="446"/>
      <c r="H4" s="446"/>
      <c r="I4" s="446"/>
      <c r="J4" s="446"/>
      <c r="V4" s="442">
        <v>15</v>
      </c>
    </row>
    <row r="5" spans="1:22" ht="66" customHeight="1">
      <c r="C5" s="114"/>
      <c r="D5" s="2877" t="s">
        <v>1206</v>
      </c>
      <c r="E5" s="2877"/>
      <c r="F5" s="2877"/>
      <c r="G5" s="2877"/>
      <c r="H5" s="2877"/>
      <c r="I5" s="2877"/>
      <c r="J5" s="2877"/>
      <c r="V5" s="442">
        <v>63</v>
      </c>
    </row>
    <row r="6" spans="1:22" ht="15.75" customHeight="1">
      <c r="C6" s="114"/>
      <c r="D6" s="2849" t="str">
        <f>IF(org=0,"Не определено",org)</f>
        <v>ТМУП "ТТС"</v>
      </c>
      <c r="E6" s="2849"/>
      <c r="F6" s="2849"/>
      <c r="G6" s="2849"/>
      <c r="H6" s="2849"/>
      <c r="I6" s="2849"/>
      <c r="J6" s="2849"/>
      <c r="K6" s="474"/>
      <c r="V6" s="442">
        <v>15</v>
      </c>
    </row>
    <row r="7" spans="1:22" ht="15.75" customHeight="1">
      <c r="C7" s="114"/>
      <c r="D7" s="689"/>
      <c r="E7" s="446"/>
      <c r="F7" s="446"/>
      <c r="G7" s="474">
        <v>22</v>
      </c>
      <c r="I7" s="474">
        <v>1</v>
      </c>
      <c r="J7" s="689"/>
      <c r="V7" s="442">
        <v>15</v>
      </c>
    </row>
    <row r="8" spans="1:22" s="1562" customFormat="1" ht="0.75" customHeight="1">
      <c r="A8" s="694"/>
      <c r="C8" s="114"/>
      <c r="D8" s="446"/>
      <c r="E8" s="446"/>
      <c r="F8" s="446"/>
      <c r="G8" s="474"/>
      <c r="H8" s="689"/>
      <c r="I8" s="474" t="s">
        <v>122</v>
      </c>
      <c r="J8" s="689"/>
      <c r="K8" s="354"/>
      <c r="U8" s="612"/>
      <c r="V8" s="693">
        <v>1</v>
      </c>
    </row>
    <row r="9" spans="1:22" ht="15.75" customHeight="1">
      <c r="C9" s="114"/>
      <c r="D9" s="648"/>
      <c r="E9" s="2984" t="s">
        <v>110</v>
      </c>
      <c r="F9" s="2985"/>
      <c r="G9" s="3009" t="str">
        <f>IF(G8="","",INDEX(DIFFERENTIATION_UNMERGE_VD,MATCH(G8,DIFFERENTIATION_ID_DIFF,0)))</f>
        <v/>
      </c>
      <c r="H9" s="3010"/>
      <c r="I9" s="3009">
        <f>IF(I8="","",INDEX(DIFFERENTIATION_UNMERGE_VD,MATCH(I8,DIFFERENTIATION_ID_DIFF,0)))</f>
        <v>0</v>
      </c>
      <c r="J9" s="3010"/>
      <c r="K9" s="2829" t="s">
        <v>346</v>
      </c>
      <c r="V9" s="442">
        <v>15</v>
      </c>
    </row>
    <row r="10" spans="1:22" s="1562" customFormat="1" ht="15.75" customHeight="1">
      <c r="A10" s="694"/>
      <c r="C10" s="114"/>
      <c r="D10" s="648"/>
      <c r="E10" s="2984" t="s">
        <v>610</v>
      </c>
      <c r="F10" s="2985"/>
      <c r="G10" s="3009" t="str">
        <f>IF(G8="","",INDEX(DIFFERENTIATION_UNMERGE_AREA,MATCH(G8,DIFFERENTIATION_ID_DIFF,0)))</f>
        <v/>
      </c>
      <c r="H10" s="3010"/>
      <c r="I10" s="3009" t="str">
        <f>IF(I8="","",INDEX(DIFFERENTIATION_UNMERGE_AREA,MATCH(I8,DIFFERENTIATION_ID_DIFF,0)))</f>
        <v/>
      </c>
      <c r="J10" s="3010"/>
      <c r="K10" s="2834"/>
      <c r="U10" s="612"/>
      <c r="V10" s="693">
        <v>15</v>
      </c>
    </row>
    <row r="11" spans="1:22" s="1562" customFormat="1" ht="15.75" customHeight="1">
      <c r="A11" s="694"/>
      <c r="C11" s="114"/>
      <c r="D11" s="648"/>
      <c r="E11" s="2984" t="s">
        <v>611</v>
      </c>
      <c r="F11" s="2985"/>
      <c r="G11" s="3009" t="str">
        <f>IF(G8="","",INDEX(DIFFERENTIATION_UNMERGE_SYSTEM,MATCH(G8,DIFFERENTIATION_ID_DIFF,0)))</f>
        <v/>
      </c>
      <c r="H11" s="3010"/>
      <c r="I11" s="3009" t="str">
        <f>IF(I8="","",INDEX(DIFFERENTIATION_UNMERGE_SYSTEM,MATCH(I8,DIFFERENTIATION_ID_DIFF,0)))</f>
        <v>без дифференциации</v>
      </c>
      <c r="J11" s="3010"/>
      <c r="K11" s="2834"/>
      <c r="U11" s="612"/>
      <c r="V11" s="693">
        <v>15</v>
      </c>
    </row>
    <row r="12" spans="1:22" s="1562" customFormat="1" ht="15.75" customHeight="1">
      <c r="A12" s="694"/>
      <c r="C12" s="114"/>
      <c r="D12" s="2986" t="s">
        <v>345</v>
      </c>
      <c r="E12" s="2987"/>
      <c r="F12" s="2987"/>
      <c r="G12" s="817"/>
      <c r="H12" s="817"/>
      <c r="I12" s="817"/>
      <c r="J12" s="817"/>
      <c r="K12" s="2834"/>
      <c r="U12" s="612"/>
      <c r="V12" s="693">
        <v>15</v>
      </c>
    </row>
    <row r="13" spans="1:22" ht="36" customHeight="1">
      <c r="C13" s="114"/>
      <c r="D13" s="736" t="s">
        <v>93</v>
      </c>
      <c r="E13" s="738" t="s">
        <v>347</v>
      </c>
      <c r="F13" s="738" t="s">
        <v>612</v>
      </c>
      <c r="G13" s="739" t="s">
        <v>348</v>
      </c>
      <c r="H13" s="738" t="s">
        <v>435</v>
      </c>
      <c r="I13" s="739" t="s">
        <v>348</v>
      </c>
      <c r="J13" s="738" t="s">
        <v>435</v>
      </c>
      <c r="K13" s="2882"/>
      <c r="V13" s="442">
        <v>34</v>
      </c>
    </row>
    <row r="14" spans="1:22" ht="15" hidden="1" customHeight="1">
      <c r="C14" s="114"/>
      <c r="D14" s="530" t="s">
        <v>114</v>
      </c>
      <c r="E14" s="530" t="s">
        <v>115</v>
      </c>
      <c r="F14" s="530" t="s">
        <v>95</v>
      </c>
      <c r="G14" s="596" t="str">
        <f>G1&amp;".1"</f>
        <v>4.1</v>
      </c>
      <c r="H14" s="596"/>
      <c r="I14" s="596" t="str">
        <f>I1&amp;".1"</f>
        <v>4.1</v>
      </c>
      <c r="J14" s="596"/>
      <c r="K14" s="227"/>
      <c r="V14" s="442">
        <v>0</v>
      </c>
    </row>
    <row r="15" spans="1:22" ht="22.5" hidden="1" customHeight="1">
      <c r="A15" s="442"/>
      <c r="C15" s="463"/>
      <c r="D15" s="458">
        <v>1</v>
      </c>
      <c r="E15" s="614" t="s">
        <v>854</v>
      </c>
      <c r="F15" s="458" t="s">
        <v>855</v>
      </c>
      <c r="G15" s="615"/>
      <c r="H15" s="615"/>
      <c r="I15" s="615"/>
      <c r="J15" s="615"/>
      <c r="K15" s="227" t="s">
        <v>856</v>
      </c>
      <c r="V15" s="442">
        <v>0</v>
      </c>
    </row>
    <row r="16" spans="1:22" ht="22.5" hidden="1" customHeight="1">
      <c r="A16" s="442"/>
      <c r="C16" s="463"/>
      <c r="D16" s="458">
        <v>2</v>
      </c>
      <c r="E16" s="217" t="s">
        <v>857</v>
      </c>
      <c r="F16" s="458" t="s">
        <v>858</v>
      </c>
      <c r="G16" s="615"/>
      <c r="H16" s="615"/>
      <c r="I16" s="615"/>
      <c r="J16" s="615"/>
      <c r="K16" s="227" t="s">
        <v>859</v>
      </c>
      <c r="V16" s="442">
        <v>0</v>
      </c>
    </row>
    <row r="17" spans="1:22" ht="123.75" hidden="1" customHeight="1">
      <c r="A17" s="442"/>
      <c r="C17" s="463"/>
      <c r="D17" s="458">
        <v>3</v>
      </c>
      <c r="E17" s="217" t="s">
        <v>1207</v>
      </c>
      <c r="F17" s="458" t="s">
        <v>351</v>
      </c>
      <c r="G17" s="615"/>
      <c r="H17" s="615"/>
      <c r="I17" s="615"/>
      <c r="J17" s="615"/>
      <c r="K17" s="227" t="s">
        <v>1208</v>
      </c>
      <c r="V17" s="442">
        <v>0</v>
      </c>
    </row>
    <row r="18" spans="1:22" ht="48" customHeight="1">
      <c r="A18" s="442"/>
      <c r="C18" s="463"/>
      <c r="D18" s="458">
        <v>3</v>
      </c>
      <c r="E18" s="217" t="s">
        <v>860</v>
      </c>
      <c r="F18" s="458" t="s">
        <v>351</v>
      </c>
      <c r="G18" s="740" t="s">
        <v>351</v>
      </c>
      <c r="H18" s="741" t="s">
        <v>351</v>
      </c>
      <c r="I18" s="458" t="s">
        <v>351</v>
      </c>
      <c r="J18" s="515" t="s">
        <v>351</v>
      </c>
      <c r="K18" s="227" t="s">
        <v>1209</v>
      </c>
      <c r="V18" s="442">
        <v>46</v>
      </c>
    </row>
    <row r="19" spans="1:22" ht="36" customHeight="1">
      <c r="A19" s="442"/>
      <c r="C19" s="463"/>
      <c r="D19" s="476" t="s">
        <v>369</v>
      </c>
      <c r="E19" s="496" t="s">
        <v>862</v>
      </c>
      <c r="F19" s="458" t="s">
        <v>863</v>
      </c>
      <c r="G19" s="748"/>
      <c r="H19" s="46"/>
      <c r="I19" s="748"/>
      <c r="J19" s="749"/>
      <c r="K19" s="616"/>
      <c r="V19" s="442">
        <v>34</v>
      </c>
    </row>
    <row r="20" spans="1:22" ht="36" customHeight="1">
      <c r="A20" s="442"/>
      <c r="C20" s="463"/>
      <c r="D20" s="1815" t="s">
        <v>377</v>
      </c>
      <c r="E20" s="496" t="s">
        <v>864</v>
      </c>
      <c r="F20" s="458" t="s">
        <v>865</v>
      </c>
      <c r="G20" s="748"/>
      <c r="H20" s="46"/>
      <c r="I20" s="748"/>
      <c r="J20" s="46"/>
      <c r="K20" s="616"/>
      <c r="V20" s="442">
        <v>34</v>
      </c>
    </row>
    <row r="21" spans="1:22" ht="48" customHeight="1">
      <c r="A21" s="442"/>
      <c r="C21" s="463"/>
      <c r="D21" s="1815" t="s">
        <v>379</v>
      </c>
      <c r="E21" s="496" t="s">
        <v>866</v>
      </c>
      <c r="F21" s="458" t="s">
        <v>617</v>
      </c>
      <c r="G21" s="617"/>
      <c r="H21" s="46"/>
      <c r="I21" s="617"/>
      <c r="J21" s="46"/>
      <c r="K21" s="616"/>
      <c r="V21" s="442">
        <v>46</v>
      </c>
    </row>
    <row r="22" spans="1:22" ht="67.5" hidden="1" customHeight="1">
      <c r="A22" s="442"/>
      <c r="C22" s="463"/>
      <c r="D22" s="458">
        <v>5</v>
      </c>
      <c r="E22" s="217" t="s">
        <v>1210</v>
      </c>
      <c r="F22" s="458" t="s">
        <v>604</v>
      </c>
      <c r="G22" s="618"/>
      <c r="H22" s="619"/>
      <c r="I22" s="618"/>
      <c r="J22" s="619"/>
      <c r="K22" s="227" t="s">
        <v>1211</v>
      </c>
      <c r="V22" s="442">
        <v>0</v>
      </c>
    </row>
    <row r="23" spans="1:22" ht="33.75" hidden="1" customHeight="1">
      <c r="C23" s="388"/>
      <c r="D23" s="458">
        <v>6</v>
      </c>
      <c r="E23" s="217" t="s">
        <v>1212</v>
      </c>
      <c r="F23" s="458" t="s">
        <v>1213</v>
      </c>
      <c r="G23" s="618"/>
      <c r="H23" s="618"/>
      <c r="I23" s="618"/>
      <c r="J23" s="618"/>
      <c r="K23" s="227" t="s">
        <v>1214</v>
      </c>
      <c r="V23" s="442">
        <v>0</v>
      </c>
    </row>
    <row r="24" spans="1:22" ht="15.75" customHeight="1">
      <c r="V24" s="442">
        <v>15</v>
      </c>
    </row>
    <row r="25" spans="1:22" ht="15.75" customHeight="1">
      <c r="V25" s="442">
        <v>15</v>
      </c>
    </row>
    <row r="26" spans="1:22" ht="15.75" customHeight="1">
      <c r="V26" s="442">
        <v>15</v>
      </c>
    </row>
    <row r="27" spans="1:22" ht="15.75" customHeight="1">
      <c r="V27" s="442">
        <v>15</v>
      </c>
    </row>
    <row r="28" spans="1:22" ht="15.75" customHeight="1">
      <c r="V28" s="442">
        <v>15</v>
      </c>
    </row>
    <row r="29" spans="1:22" ht="15.75" customHeight="1">
      <c r="J29" s="750"/>
      <c r="V29" s="442">
        <v>15</v>
      </c>
    </row>
    <row r="30" spans="1:22" ht="22.5" hidden="1" customHeight="1">
      <c r="A30" s="386" t="s">
        <v>87</v>
      </c>
      <c r="B30" s="442">
        <v>0</v>
      </c>
      <c r="C30" s="620">
        <v>4</v>
      </c>
      <c r="D30" s="442">
        <v>6</v>
      </c>
      <c r="E30" s="442">
        <v>47</v>
      </c>
      <c r="F30" s="442">
        <v>9</v>
      </c>
      <c r="G30" s="693">
        <v>0</v>
      </c>
      <c r="H30" s="693">
        <v>0</v>
      </c>
      <c r="I30" s="442">
        <v>25</v>
      </c>
      <c r="J30" s="442">
        <v>33</v>
      </c>
      <c r="K30" s="354">
        <v>50</v>
      </c>
      <c r="L30" s="442">
        <v>10</v>
      </c>
      <c r="M30" s="442">
        <v>10</v>
      </c>
      <c r="N30" s="442">
        <v>10</v>
      </c>
      <c r="O30" s="442">
        <v>10</v>
      </c>
      <c r="P30" s="442">
        <v>10</v>
      </c>
      <c r="Q30" s="442">
        <v>10</v>
      </c>
      <c r="R30" s="442">
        <v>10</v>
      </c>
      <c r="S30" s="442">
        <v>10</v>
      </c>
      <c r="T30" s="442">
        <v>10</v>
      </c>
      <c r="U30" s="612">
        <v>10</v>
      </c>
      <c r="V30" s="442">
        <v>23</v>
      </c>
    </row>
  </sheetData>
  <sheetProtection formatColumns="0" formatRows="0" insertRows="0" deleteColumns="0" deleteRows="0" sort="0" autoFilter="0"/>
  <mergeCells count="13">
    <mergeCell ref="D5:J5"/>
    <mergeCell ref="D6:J6"/>
    <mergeCell ref="K9:K13"/>
    <mergeCell ref="I9:J9"/>
    <mergeCell ref="E9:F9"/>
    <mergeCell ref="E10:F10"/>
    <mergeCell ref="E11:F11"/>
    <mergeCell ref="I10:J10"/>
    <mergeCell ref="I11:J11"/>
    <mergeCell ref="G9:H9"/>
    <mergeCell ref="G10:H10"/>
    <mergeCell ref="G11:H11"/>
    <mergeCell ref="D12:F12"/>
  </mergeCells>
  <dataValidations count="4">
    <dataValidation type="decimal" allowBlank="1" showErrorMessage="1" errorTitle="Ошибка" error="Допускается ввод только неотрицательных чисел!" sqref="G21 I21">
      <formula1>0</formula1>
      <formula2>9.99999999999999E+23</formula2>
    </dataValidation>
    <dataValidation allowBlank="1" showInputMessage="1" showErrorMessage="1" prompt="Количество поданных заявок на подключение (технологическое присоединение) к системе теплоснабжения в течение квартала, шт." sqref="E15 E13"/>
    <dataValidation type="whole" allowBlank="1" showErrorMessage="1" errorTitle="Ошибка" error="Допускается ввод только неотрицательных целых чисел!" sqref="G19:G20 I19:I20">
      <formula1>0</formula1>
      <formula2>9.99999999999999E+23</formula2>
    </dataValidation>
    <dataValidation type="textLength" operator="lessThanOrEqual" allowBlank="1" showInputMessage="1" showErrorMessage="1" errorTitle="Ошибка" error="Допускается ввод не более 900 символов!" sqref="H19:H21 J19:J21">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CD118"/>
  <sheetViews>
    <sheetView showGridLines="0" workbookViewId="0"/>
  </sheetViews>
  <sheetFormatPr defaultColWidth="9.140625" defaultRowHeight="11.25" customHeight="1"/>
  <cols>
    <col min="1" max="1" width="32.5703125" style="1129" customWidth="1"/>
    <col min="2" max="2" width="11" style="1775" customWidth="1"/>
    <col min="3" max="3" width="9.140625" style="1775"/>
    <col min="4" max="4" width="26.5703125" style="1775" customWidth="1"/>
    <col min="5" max="5" width="36.85546875" style="1748" customWidth="1"/>
    <col min="6" max="6" width="23.5703125" style="1748" customWidth="1"/>
    <col min="7" max="7" width="31.42578125" style="1748" customWidth="1"/>
    <col min="8" max="8" width="40.85546875" style="1748" customWidth="1"/>
    <col min="9" max="9" width="14.5703125" style="1748" customWidth="1"/>
    <col min="10" max="10" width="26.85546875" style="1748" customWidth="1"/>
    <col min="11" max="11" width="50" style="1748" customWidth="1"/>
    <col min="12" max="12" width="52.42578125" style="1748" customWidth="1"/>
    <col min="13" max="13" width="10.7109375" style="1748" customWidth="1"/>
    <col min="14" max="14" width="55.140625" style="1748" customWidth="1"/>
    <col min="15" max="15" width="31.85546875" style="1748" customWidth="1"/>
    <col min="16" max="16" width="23.85546875" style="1748" customWidth="1"/>
    <col min="17" max="17" width="46.5703125" style="1748" customWidth="1"/>
    <col min="18" max="18" width="24" style="1748" customWidth="1"/>
    <col min="19" max="19" width="20.5703125" style="1748" customWidth="1"/>
    <col min="20" max="20" width="22" style="1748" customWidth="1"/>
    <col min="21" max="22" width="26.42578125" style="1748" customWidth="1"/>
    <col min="23" max="23" width="8.28515625" style="1748" hidden="1" customWidth="1"/>
    <col min="24" max="24" width="59.7109375" style="1748" customWidth="1"/>
    <col min="25" max="25" width="49.140625" style="1748" customWidth="1"/>
    <col min="26" max="26" width="11.140625" style="1748" customWidth="1"/>
    <col min="27" max="30" width="29" style="1748" customWidth="1"/>
    <col min="31" max="31" width="9.140625" style="1748"/>
    <col min="32" max="32" width="34.7109375" style="1748" customWidth="1"/>
    <col min="33" max="33" width="9.140625" style="1748"/>
    <col min="34" max="35" width="34.42578125" style="1748" customWidth="1"/>
    <col min="36" max="36" width="9.140625" style="1748"/>
    <col min="37" max="37" width="24.5703125" style="1748" customWidth="1"/>
    <col min="38" max="38" width="9.140625" style="1748"/>
    <col min="39" max="39" width="26.140625" style="1748" customWidth="1"/>
    <col min="40" max="40" width="1.7109375" style="1748" customWidth="1"/>
    <col min="41" max="41" width="9.140625" style="1748"/>
    <col min="42" max="43" width="47.85546875" style="1748" customWidth="1"/>
    <col min="44" max="44" width="1.7109375" style="1748" customWidth="1"/>
    <col min="45" max="45" width="21.42578125" style="1748" customWidth="1"/>
    <col min="46" max="46" width="1.7109375" style="1748" customWidth="1"/>
    <col min="47" max="47" width="31.28515625" style="1748" customWidth="1"/>
    <col min="48" max="48" width="1.7109375" style="1748" customWidth="1"/>
    <col min="49" max="50" width="9.140625" style="1748"/>
    <col min="51" max="51" width="3.7109375" style="1748" customWidth="1"/>
    <col min="52" max="52" width="60.85546875" style="1748" customWidth="1"/>
    <col min="53" max="53" width="49.28515625" style="1748" customWidth="1"/>
    <col min="54" max="54" width="35.140625" style="1748" customWidth="1"/>
    <col min="55" max="55" width="9.140625" style="1748"/>
    <col min="56" max="56" width="1.7109375" style="1748" customWidth="1"/>
    <col min="57" max="57" width="12.5703125" style="996" customWidth="1"/>
    <col min="58" max="58" width="14.28515625" style="996" customWidth="1"/>
    <col min="59" max="59" width="30.7109375" style="1748" customWidth="1"/>
    <col min="60" max="60" width="40.7109375" style="1765" customWidth="1"/>
    <col min="61" max="61" width="15" style="1765" customWidth="1"/>
    <col min="62" max="62" width="40.7109375" style="1765" customWidth="1"/>
    <col min="63" max="63" width="2.7109375" style="1765" customWidth="1"/>
    <col min="64" max="64" width="44.7109375" style="1765" customWidth="1"/>
    <col min="65" max="65" width="2.7109375" style="1765" customWidth="1"/>
    <col min="66" max="66" width="40.7109375" style="1765" customWidth="1"/>
    <col min="67" max="68" width="9.140625" style="1748"/>
    <col min="69" max="69" width="18.140625" style="1748" customWidth="1"/>
    <col min="70" max="70" width="57.85546875" style="1748" customWidth="1"/>
    <col min="71" max="71" width="1.7109375" style="1748" customWidth="1"/>
    <col min="72" max="72" width="22.5703125" style="1748" customWidth="1"/>
    <col min="73" max="73" width="57.85546875" style="1748" customWidth="1"/>
    <col min="74" max="74" width="1.7109375" style="1748" customWidth="1"/>
    <col min="75" max="75" width="22.5703125" style="1748" customWidth="1"/>
    <col min="76" max="76" width="57.85546875" style="1748" customWidth="1"/>
    <col min="77" max="77" width="1.7109375" style="1748" customWidth="1"/>
    <col min="78" max="78" width="22.5703125" style="1748" customWidth="1"/>
    <col min="79" max="79" width="57.85546875" style="1748" customWidth="1"/>
    <col min="80" max="81" width="9.140625" style="1748"/>
    <col min="82" max="82" width="49.5703125" style="1748" customWidth="1"/>
  </cols>
  <sheetData>
    <row r="1" spans="1:79" s="1354" customFormat="1" ht="11.25" customHeight="1">
      <c r="A1" s="997" t="s">
        <v>1215</v>
      </c>
      <c r="B1" s="997" t="s">
        <v>1216</v>
      </c>
      <c r="C1" s="997" t="s">
        <v>1217</v>
      </c>
      <c r="D1" s="997" t="s">
        <v>1218</v>
      </c>
      <c r="E1" s="997" t="s">
        <v>1219</v>
      </c>
      <c r="F1" s="997" t="s">
        <v>1220</v>
      </c>
      <c r="G1" s="997" t="s">
        <v>1221</v>
      </c>
      <c r="H1" s="997" t="s">
        <v>1222</v>
      </c>
      <c r="I1" s="997" t="s">
        <v>1223</v>
      </c>
      <c r="J1" s="997" t="s">
        <v>1224</v>
      </c>
      <c r="K1" s="997" t="s">
        <v>1225</v>
      </c>
      <c r="L1" s="997" t="s">
        <v>1226</v>
      </c>
      <c r="M1" s="997"/>
      <c r="N1" s="997" t="s">
        <v>1227</v>
      </c>
      <c r="O1" s="997" t="s">
        <v>1228</v>
      </c>
      <c r="P1" s="997" t="s">
        <v>1229</v>
      </c>
      <c r="Q1" s="997" t="s">
        <v>1230</v>
      </c>
      <c r="R1" s="997" t="s">
        <v>1231</v>
      </c>
      <c r="S1" s="997" t="s">
        <v>1232</v>
      </c>
      <c r="T1" s="997" t="s">
        <v>1233</v>
      </c>
      <c r="U1" s="997" t="s">
        <v>1234</v>
      </c>
      <c r="V1" s="997"/>
      <c r="W1" s="728" t="s">
        <v>1235</v>
      </c>
      <c r="X1" s="997" t="s">
        <v>1236</v>
      </c>
      <c r="Y1" s="997" t="s">
        <v>1237</v>
      </c>
      <c r="Z1" s="997"/>
      <c r="AA1" s="997" t="s">
        <v>1238</v>
      </c>
      <c r="AB1" s="997"/>
      <c r="AC1" s="997" t="s">
        <v>1239</v>
      </c>
      <c r="AD1" s="997"/>
      <c r="AF1" s="997" t="s">
        <v>1240</v>
      </c>
      <c r="AH1" s="997" t="s">
        <v>1241</v>
      </c>
      <c r="AI1" s="997" t="s">
        <v>1242</v>
      </c>
      <c r="AK1" s="997" t="s">
        <v>1243</v>
      </c>
      <c r="AM1" s="997" t="s">
        <v>1244</v>
      </c>
      <c r="AP1" s="997" t="s">
        <v>1245</v>
      </c>
      <c r="AQ1" s="997" t="s">
        <v>1246</v>
      </c>
      <c r="AS1" s="997" t="s">
        <v>1247</v>
      </c>
      <c r="AU1" s="997" t="s">
        <v>1248</v>
      </c>
      <c r="AW1" s="997" t="s">
        <v>1249</v>
      </c>
      <c r="AX1" s="997" t="s">
        <v>1250</v>
      </c>
      <c r="AZ1" s="1079" t="s">
        <v>1251</v>
      </c>
      <c r="BB1" s="997" t="s">
        <v>1252</v>
      </c>
      <c r="BC1" s="997"/>
      <c r="BE1" s="997" t="s">
        <v>1253</v>
      </c>
      <c r="BF1" s="997" t="s">
        <v>1254</v>
      </c>
      <c r="BH1" s="999" t="s">
        <v>853</v>
      </c>
      <c r="BI1" s="1000"/>
      <c r="BJ1" s="1001" t="s">
        <v>1255</v>
      </c>
      <c r="BK1" s="1000"/>
      <c r="BL1" s="1002" t="s">
        <v>952</v>
      </c>
      <c r="BM1" s="1000"/>
      <c r="BN1" s="1003" t="s">
        <v>1256</v>
      </c>
    </row>
    <row r="2" spans="1:79" ht="11.25" customHeight="1">
      <c r="A2" s="1004" t="s">
        <v>1257</v>
      </c>
      <c r="B2" s="1005">
        <v>2000</v>
      </c>
      <c r="C2" s="1005">
        <v>2022</v>
      </c>
      <c r="D2" s="1005" t="s">
        <v>71</v>
      </c>
      <c r="E2" s="1006" t="s">
        <v>1258</v>
      </c>
      <c r="F2" s="1006" t="s">
        <v>1259</v>
      </c>
      <c r="G2" s="1006" t="s">
        <v>1260</v>
      </c>
      <c r="H2" s="1007" t="s">
        <v>60</v>
      </c>
      <c r="I2" s="1006" t="s">
        <v>114</v>
      </c>
      <c r="J2" s="1006" t="s">
        <v>1261</v>
      </c>
      <c r="K2" s="1008" t="s">
        <v>1262</v>
      </c>
      <c r="L2" s="1009"/>
      <c r="M2" s="1008">
        <v>1</v>
      </c>
      <c r="N2" s="1089" t="s">
        <v>1263</v>
      </c>
      <c r="O2" s="1007" t="s">
        <v>493</v>
      </c>
      <c r="P2" s="1010" t="s">
        <v>1264</v>
      </c>
      <c r="Q2" s="1011" t="s">
        <v>491</v>
      </c>
      <c r="R2" s="82" t="s">
        <v>492</v>
      </c>
      <c r="S2" s="82" t="s">
        <v>1265</v>
      </c>
      <c r="T2" s="1012" t="s">
        <v>1266</v>
      </c>
      <c r="U2" s="1009" t="s">
        <v>1267</v>
      </c>
      <c r="V2" s="1013">
        <v>1</v>
      </c>
      <c r="W2" s="1014"/>
      <c r="X2" s="1014" t="s">
        <v>1268</v>
      </c>
      <c r="Y2" s="1005" t="s">
        <v>1269</v>
      </c>
      <c r="Z2" s="1015"/>
      <c r="AA2" s="1005" t="s">
        <v>1270</v>
      </c>
      <c r="AB2" s="1016" t="s">
        <v>1270</v>
      </c>
      <c r="AC2" s="1005" t="s">
        <v>1271</v>
      </c>
      <c r="AD2" s="1016" t="s">
        <v>1271</v>
      </c>
      <c r="AF2" s="1007" t="s">
        <v>1267</v>
      </c>
      <c r="AH2" s="1006" t="s">
        <v>1272</v>
      </c>
      <c r="AI2" s="1006" t="s">
        <v>1272</v>
      </c>
      <c r="AK2" s="1006" t="s">
        <v>1273</v>
      </c>
      <c r="AM2" s="1006" t="s">
        <v>1274</v>
      </c>
      <c r="AP2" s="1017" t="s">
        <v>1268</v>
      </c>
      <c r="AQ2" s="1018" t="s">
        <v>1268</v>
      </c>
      <c r="AS2" s="1005" t="s">
        <v>1275</v>
      </c>
      <c r="AU2" s="1047" t="s">
        <v>1276</v>
      </c>
      <c r="AW2" s="1047" t="s">
        <v>1277</v>
      </c>
      <c r="AX2" s="1047" t="s">
        <v>1277</v>
      </c>
      <c r="AZ2" s="1047" t="s">
        <v>58</v>
      </c>
      <c r="BB2" s="1047" t="s">
        <v>1278</v>
      </c>
      <c r="BC2" s="1047" t="s">
        <v>1279</v>
      </c>
      <c r="BE2" s="1047">
        <v>2000</v>
      </c>
      <c r="BF2" s="1047" t="s">
        <v>1280</v>
      </c>
    </row>
    <row r="3" spans="1:79" ht="11.25" customHeight="1">
      <c r="A3" s="1004" t="s">
        <v>1281</v>
      </c>
      <c r="B3" s="1005">
        <v>2001</v>
      </c>
      <c r="C3" s="1005">
        <v>2023</v>
      </c>
      <c r="D3" s="1005" t="s">
        <v>19</v>
      </c>
      <c r="E3" s="1006" t="s">
        <v>1282</v>
      </c>
      <c r="F3" s="1006" t="s">
        <v>1283</v>
      </c>
      <c r="G3" s="1006" t="s">
        <v>1284</v>
      </c>
      <c r="H3" s="1007" t="s">
        <v>1285</v>
      </c>
      <c r="I3" s="1006" t="s">
        <v>115</v>
      </c>
      <c r="J3" s="1006" t="s">
        <v>602</v>
      </c>
      <c r="K3" s="1008" t="s">
        <v>1196</v>
      </c>
      <c r="L3" s="1009">
        <f>IFERROR(MATCH(K3,OFFER_METHOD,0),0)</f>
        <v>4</v>
      </c>
      <c r="M3" s="1008">
        <v>2</v>
      </c>
      <c r="N3" s="1089" t="s">
        <v>1286</v>
      </c>
      <c r="O3" s="1007" t="s">
        <v>1287</v>
      </c>
      <c r="P3" s="1010" t="s">
        <v>39</v>
      </c>
      <c r="Q3" s="1011" t="s">
        <v>1288</v>
      </c>
      <c r="R3" s="82" t="s">
        <v>495</v>
      </c>
      <c r="S3" s="82" t="s">
        <v>1289</v>
      </c>
      <c r="T3" s="1012" t="s">
        <v>1290</v>
      </c>
      <c r="U3" s="1009" t="s">
        <v>1291</v>
      </c>
      <c r="V3" s="1013">
        <v>2</v>
      </c>
      <c r="W3" s="1014"/>
      <c r="X3" s="1014" t="s">
        <v>1292</v>
      </c>
      <c r="Y3" s="1005" t="s">
        <v>1269</v>
      </c>
      <c r="Z3" s="1015"/>
      <c r="AA3" s="1005" t="s">
        <v>1293</v>
      </c>
      <c r="AB3" s="1016" t="s">
        <v>1293</v>
      </c>
      <c r="AC3" s="1005" t="s">
        <v>1294</v>
      </c>
      <c r="AD3" s="1016" t="s">
        <v>1294</v>
      </c>
      <c r="AF3" s="1007" t="s">
        <v>1291</v>
      </c>
      <c r="AH3" s="1006" t="s">
        <v>1295</v>
      </c>
      <c r="AI3" s="1006" t="s">
        <v>1296</v>
      </c>
      <c r="AK3" s="1006" t="s">
        <v>1297</v>
      </c>
      <c r="AM3" s="1006" t="s">
        <v>1298</v>
      </c>
      <c r="AP3" s="1017" t="s">
        <v>1299</v>
      </c>
      <c r="AQ3" s="1018" t="s">
        <v>1299</v>
      </c>
      <c r="AS3" s="1005" t="s">
        <v>1300</v>
      </c>
      <c r="AU3" s="1047" t="s">
        <v>1301</v>
      </c>
      <c r="AW3" s="1047" t="s">
        <v>1302</v>
      </c>
      <c r="AX3" s="1047" t="s">
        <v>1302</v>
      </c>
      <c r="AZ3" s="1047" t="s">
        <v>1303</v>
      </c>
      <c r="BB3" s="1047" t="s">
        <v>1304</v>
      </c>
      <c r="BC3" s="1047" t="s">
        <v>1279</v>
      </c>
      <c r="BE3" s="1047">
        <v>2001</v>
      </c>
      <c r="BF3" s="1047" t="s">
        <v>1305</v>
      </c>
      <c r="BH3" s="997" t="s">
        <v>1306</v>
      </c>
      <c r="BJ3" s="997" t="s">
        <v>1307</v>
      </c>
      <c r="BL3" s="997" t="s">
        <v>1308</v>
      </c>
      <c r="BN3" s="997" t="s">
        <v>1309</v>
      </c>
      <c r="BR3" s="997" t="s">
        <v>1310</v>
      </c>
      <c r="BS3" s="1355"/>
      <c r="BT3" s="1000"/>
      <c r="BU3" s="997" t="s">
        <v>1311</v>
      </c>
      <c r="BV3" s="1000"/>
      <c r="BW3" s="1617"/>
      <c r="BX3" s="1619" t="s">
        <v>1312</v>
      </c>
      <c r="CA3" s="997" t="s">
        <v>1313</v>
      </c>
    </row>
    <row r="4" spans="1:79" ht="11.25" customHeight="1">
      <c r="A4" s="1004" t="s">
        <v>1314</v>
      </c>
      <c r="B4" s="1005">
        <v>2002</v>
      </c>
      <c r="C4" s="1005">
        <v>2024</v>
      </c>
      <c r="E4" s="1006" t="s">
        <v>1315</v>
      </c>
      <c r="F4" s="1006" t="s">
        <v>1316</v>
      </c>
      <c r="H4" s="1007" t="s">
        <v>1317</v>
      </c>
      <c r="I4" s="1006" t="s">
        <v>95</v>
      </c>
      <c r="J4" s="1006" t="s">
        <v>1318</v>
      </c>
      <c r="K4" s="1008" t="s">
        <v>1319</v>
      </c>
      <c r="L4" s="1009">
        <f>IFERROR(MATCH(K4,OFFER_METHOD,0),0)</f>
        <v>0</v>
      </c>
      <c r="M4" s="1008">
        <v>3</v>
      </c>
      <c r="N4" s="1089" t="s">
        <v>1320</v>
      </c>
      <c r="O4" s="1006" t="s">
        <v>1321</v>
      </c>
      <c r="Q4" s="1011" t="s">
        <v>1322</v>
      </c>
      <c r="R4" s="82" t="s">
        <v>1323</v>
      </c>
      <c r="S4" s="82" t="s">
        <v>1324</v>
      </c>
      <c r="T4" s="1012" t="s">
        <v>1325</v>
      </c>
      <c r="U4" s="1009" t="s">
        <v>1326</v>
      </c>
      <c r="V4" s="1013">
        <v>3</v>
      </c>
      <c r="W4" s="1014"/>
      <c r="X4" s="1014" t="s">
        <v>1327</v>
      </c>
      <c r="Y4" s="1005" t="s">
        <v>1269</v>
      </c>
      <c r="Z4" s="1020"/>
      <c r="AC4" s="1005" t="s">
        <v>1328</v>
      </c>
      <c r="AD4" s="1016" t="s">
        <v>1328</v>
      </c>
      <c r="AF4" s="1007" t="s">
        <v>1326</v>
      </c>
      <c r="AH4" s="1007" t="s">
        <v>1329</v>
      </c>
      <c r="AK4" s="1006" t="s">
        <v>1330</v>
      </c>
      <c r="AM4" s="1006" t="s">
        <v>1331</v>
      </c>
      <c r="AP4" s="1017" t="s">
        <v>1292</v>
      </c>
      <c r="AQ4" s="1018" t="s">
        <v>1292</v>
      </c>
      <c r="AS4" s="1005" t="s">
        <v>1332</v>
      </c>
      <c r="AU4" s="1047" t="s">
        <v>1333</v>
      </c>
      <c r="AW4" s="1047" t="s">
        <v>1334</v>
      </c>
      <c r="AX4" s="1047" t="s">
        <v>1334</v>
      </c>
      <c r="AZ4" s="1047" t="s">
        <v>1335</v>
      </c>
      <c r="BB4" s="1047" t="s">
        <v>1336</v>
      </c>
      <c r="BC4" s="1047" t="s">
        <v>1337</v>
      </c>
      <c r="BE4" s="1047">
        <v>2002</v>
      </c>
      <c r="BF4" s="1047" t="s">
        <v>1338</v>
      </c>
      <c r="BH4" s="998" t="s">
        <v>1339</v>
      </c>
      <c r="BJ4" s="998" t="s">
        <v>1339</v>
      </c>
      <c r="BL4" s="998" t="s">
        <v>1339</v>
      </c>
      <c r="BN4" s="998" t="s">
        <v>1339</v>
      </c>
      <c r="BQ4" s="1359" t="s">
        <v>1340</v>
      </c>
      <c r="BR4" s="1086" t="s">
        <v>1341</v>
      </c>
      <c r="BS4" s="212"/>
      <c r="BT4" s="1359" t="s">
        <v>1342</v>
      </c>
      <c r="BU4" s="1086" t="s">
        <v>1343</v>
      </c>
      <c r="BV4" s="1000"/>
      <c r="BW4" s="1624" t="s">
        <v>1344</v>
      </c>
      <c r="BX4" s="1618" t="s">
        <v>1345</v>
      </c>
      <c r="BZ4" s="1359" t="s">
        <v>1346</v>
      </c>
      <c r="CA4" s="1086" t="s">
        <v>1347</v>
      </c>
    </row>
    <row r="5" spans="1:79" ht="11.25" customHeight="1">
      <c r="A5" s="1004" t="s">
        <v>1348</v>
      </c>
      <c r="B5" s="1005">
        <v>2003</v>
      </c>
      <c r="C5" s="1005">
        <v>2025</v>
      </c>
      <c r="E5" s="1006" t="s">
        <v>1349</v>
      </c>
      <c r="F5" s="1006" t="s">
        <v>1350</v>
      </c>
      <c r="H5" s="1007" t="s">
        <v>1351</v>
      </c>
      <c r="I5" s="1006" t="s">
        <v>96</v>
      </c>
      <c r="K5" s="1008" t="s">
        <v>1352</v>
      </c>
      <c r="L5" s="1009">
        <f>IFERROR(MATCH(K5,OFFER_METHOD,0),0)</f>
        <v>0</v>
      </c>
      <c r="M5" s="1008">
        <v>4</v>
      </c>
      <c r="N5" s="1021" t="s">
        <v>1353</v>
      </c>
      <c r="O5" s="1006" t="s">
        <v>1354</v>
      </c>
      <c r="Q5" s="1011" t="s">
        <v>1355</v>
      </c>
      <c r="R5" s="82" t="s">
        <v>494</v>
      </c>
      <c r="T5" s="1007" t="s">
        <v>1356</v>
      </c>
      <c r="U5" s="1009" t="s">
        <v>1357</v>
      </c>
      <c r="V5" s="1013">
        <v>4</v>
      </c>
      <c r="W5" s="1014"/>
      <c r="X5" s="1014" t="s">
        <v>213</v>
      </c>
      <c r="Y5" s="1005" t="s">
        <v>1358</v>
      </c>
      <c r="Z5" s="1020">
        <v>1</v>
      </c>
      <c r="AF5" s="1007" t="s">
        <v>1359</v>
      </c>
      <c r="AH5" s="1006" t="s">
        <v>1360</v>
      </c>
      <c r="AK5" s="1006" t="s">
        <v>1361</v>
      </c>
      <c r="AM5" s="1006" t="s">
        <v>1362</v>
      </c>
      <c r="AP5" s="1017" t="s">
        <v>213</v>
      </c>
      <c r="AQ5" s="1018" t="s">
        <v>213</v>
      </c>
      <c r="AU5" s="1047" t="s">
        <v>1363</v>
      </c>
      <c r="AW5" s="1047" t="s">
        <v>1364</v>
      </c>
      <c r="AX5" s="1047" t="s">
        <v>1364</v>
      </c>
      <c r="AZ5" s="1047" t="s">
        <v>1365</v>
      </c>
      <c r="BB5" s="1047" t="s">
        <v>1366</v>
      </c>
      <c r="BC5" s="1047" t="s">
        <v>1367</v>
      </c>
      <c r="BE5" s="1047">
        <v>2003</v>
      </c>
      <c r="BF5" s="1047" t="s">
        <v>1368</v>
      </c>
      <c r="BH5" s="998" t="s">
        <v>1369</v>
      </c>
      <c r="BJ5" s="998" t="s">
        <v>1369</v>
      </c>
      <c r="BL5" s="998" t="s">
        <v>1369</v>
      </c>
      <c r="BN5" s="998" t="s">
        <v>1370</v>
      </c>
      <c r="BQ5" s="1208">
        <v>4213775</v>
      </c>
      <c r="BR5" s="998" t="s">
        <v>1268</v>
      </c>
      <c r="BS5" s="1356"/>
      <c r="BT5" s="1208">
        <v>64236871</v>
      </c>
      <c r="BU5" s="998" t="s">
        <v>274</v>
      </c>
      <c r="BV5" s="1000"/>
      <c r="BW5" s="1622">
        <v>4213767</v>
      </c>
      <c r="BX5" s="1620" t="s">
        <v>1371</v>
      </c>
      <c r="BZ5" s="1208">
        <v>64237509</v>
      </c>
      <c r="CA5" s="1222" t="s">
        <v>1372</v>
      </c>
    </row>
    <row r="6" spans="1:79" ht="11.25" customHeight="1">
      <c r="A6" s="1004" t="s">
        <v>1373</v>
      </c>
      <c r="B6" s="1005">
        <v>2004</v>
      </c>
      <c r="C6" s="1005">
        <v>2026</v>
      </c>
      <c r="E6" s="1006" t="s">
        <v>1374</v>
      </c>
      <c r="F6" s="1022"/>
      <c r="H6" s="1007" t="s">
        <v>1375</v>
      </c>
      <c r="I6" s="1006" t="s">
        <v>116</v>
      </c>
      <c r="J6" s="997" t="s">
        <v>1376</v>
      </c>
      <c r="L6" s="1009">
        <f>SUM(kind_of_control_method_filter)</f>
        <v>4</v>
      </c>
      <c r="N6" s="1021" t="s">
        <v>1377</v>
      </c>
      <c r="O6" s="1006" t="s">
        <v>1378</v>
      </c>
      <c r="R6" s="82" t="s">
        <v>491</v>
      </c>
      <c r="T6" s="1007" t="s">
        <v>1379</v>
      </c>
      <c r="U6" s="1009" t="s">
        <v>1359</v>
      </c>
      <c r="V6" s="1013">
        <v>5</v>
      </c>
      <c r="W6" s="1014"/>
      <c r="X6" s="1005" t="s">
        <v>219</v>
      </c>
      <c r="Y6" s="1005" t="s">
        <v>1380</v>
      </c>
      <c r="Z6" s="1020"/>
      <c r="AA6" s="1023"/>
      <c r="AH6" s="1006" t="s">
        <v>1381</v>
      </c>
      <c r="AK6" s="1006" t="s">
        <v>1382</v>
      </c>
      <c r="AM6" s="1006" t="s">
        <v>1383</v>
      </c>
      <c r="AP6" s="1017" t="s">
        <v>219</v>
      </c>
      <c r="AQ6" s="1018" t="s">
        <v>219</v>
      </c>
      <c r="AU6" s="1047" t="s">
        <v>1384</v>
      </c>
      <c r="AW6" s="1047" t="s">
        <v>1385</v>
      </c>
      <c r="AX6" s="1047" t="s">
        <v>1385</v>
      </c>
      <c r="BB6" s="1047" t="s">
        <v>1386</v>
      </c>
      <c r="BC6" s="1047" t="s">
        <v>1367</v>
      </c>
      <c r="BE6" s="1047">
        <v>2004</v>
      </c>
      <c r="BF6" s="1047" t="s">
        <v>1387</v>
      </c>
      <c r="BH6" s="998" t="s">
        <v>1388</v>
      </c>
      <c r="BJ6" s="998" t="s">
        <v>1389</v>
      </c>
      <c r="BL6" s="998" t="s">
        <v>1389</v>
      </c>
      <c r="BN6" s="998" t="s">
        <v>1390</v>
      </c>
      <c r="BQ6" s="1208">
        <v>4213784</v>
      </c>
      <c r="BR6" s="1222" t="s">
        <v>1299</v>
      </c>
      <c r="BS6" s="1357"/>
      <c r="BT6" s="1208">
        <v>64236872</v>
      </c>
      <c r="BU6" s="998" t="s">
        <v>279</v>
      </c>
      <c r="BV6" s="1000"/>
      <c r="BW6" s="1622">
        <v>4213768</v>
      </c>
      <c r="BX6" s="1620" t="s">
        <v>299</v>
      </c>
      <c r="BZ6" s="1208">
        <v>64237510</v>
      </c>
      <c r="CA6" s="998" t="s">
        <v>1391</v>
      </c>
    </row>
    <row r="7" spans="1:79" ht="11.25" customHeight="1">
      <c r="A7" s="1004" t="s">
        <v>1392</v>
      </c>
      <c r="B7" s="1005">
        <v>2005</v>
      </c>
      <c r="E7" s="1006" t="s">
        <v>1393</v>
      </c>
      <c r="F7" s="1022"/>
      <c r="H7" s="1007" t="s">
        <v>1394</v>
      </c>
      <c r="I7" s="1006" t="s">
        <v>97</v>
      </c>
      <c r="J7" s="1006" t="s">
        <v>1395</v>
      </c>
      <c r="N7" s="1025" t="s">
        <v>1396</v>
      </c>
      <c r="O7" s="1006" t="s">
        <v>1397</v>
      </c>
      <c r="U7" s="1009" t="s">
        <v>19</v>
      </c>
      <c r="V7" s="307" t="s">
        <v>97</v>
      </c>
      <c r="W7" s="1014"/>
      <c r="X7" s="1005" t="s">
        <v>225</v>
      </c>
      <c r="Y7" s="1005" t="s">
        <v>1358</v>
      </c>
      <c r="Z7" s="1020"/>
      <c r="AA7" s="1023"/>
      <c r="AH7" s="1006" t="s">
        <v>1398</v>
      </c>
      <c r="AK7" s="1006" t="s">
        <v>1399</v>
      </c>
      <c r="AM7" s="1006" t="s">
        <v>1400</v>
      </c>
      <c r="AP7" s="1017" t="s">
        <v>225</v>
      </c>
      <c r="AQ7" s="1018" t="s">
        <v>225</v>
      </c>
      <c r="AU7" s="1047" t="s">
        <v>1401</v>
      </c>
      <c r="AW7" s="1047" t="s">
        <v>1402</v>
      </c>
      <c r="AX7" s="1047" t="s">
        <v>1402</v>
      </c>
      <c r="AZ7" s="997" t="s">
        <v>1403</v>
      </c>
      <c r="BB7" s="1047" t="s">
        <v>1404</v>
      </c>
      <c r="BC7" s="1047" t="s">
        <v>1367</v>
      </c>
      <c r="BE7" s="1047">
        <v>2005</v>
      </c>
      <c r="BF7" s="1047" t="s">
        <v>1405</v>
      </c>
      <c r="BH7" s="998" t="s">
        <v>1406</v>
      </c>
      <c r="BJ7" s="998" t="s">
        <v>1388</v>
      </c>
      <c r="BL7" s="998" t="s">
        <v>1388</v>
      </c>
      <c r="BN7" s="998" t="s">
        <v>1407</v>
      </c>
      <c r="BQ7" s="1208">
        <v>4213781</v>
      </c>
      <c r="BR7" s="998" t="s">
        <v>1292</v>
      </c>
      <c r="BS7" s="1356"/>
      <c r="BT7" s="1208">
        <v>64236873</v>
      </c>
      <c r="BU7" s="998" t="s">
        <v>284</v>
      </c>
      <c r="BV7" s="1000"/>
      <c r="BW7" s="1622">
        <v>4213769</v>
      </c>
      <c r="BX7" s="1620" t="s">
        <v>1408</v>
      </c>
      <c r="BZ7" s="1208">
        <v>64237511</v>
      </c>
      <c r="CA7" s="998" t="s">
        <v>314</v>
      </c>
    </row>
    <row r="8" spans="1:79" ht="11.25" customHeight="1">
      <c r="A8" s="1004" t="s">
        <v>1409</v>
      </c>
      <c r="B8" s="1005">
        <v>2006</v>
      </c>
      <c r="E8" s="1006" t="s">
        <v>1410</v>
      </c>
      <c r="F8" s="1022"/>
      <c r="H8" s="1007" t="s">
        <v>1411</v>
      </c>
      <c r="I8" s="1006" t="s">
        <v>98</v>
      </c>
      <c r="J8" s="1006" t="s">
        <v>1412</v>
      </c>
      <c r="N8" s="1090" t="s">
        <v>1413</v>
      </c>
      <c r="O8" s="1006" t="s">
        <v>1414</v>
      </c>
      <c r="V8" s="307" t="s">
        <v>98</v>
      </c>
      <c r="W8" s="1014"/>
      <c r="X8" s="1005" t="s">
        <v>231</v>
      </c>
      <c r="Y8" s="1005" t="s">
        <v>1358</v>
      </c>
      <c r="Z8" s="1020"/>
      <c r="AA8" s="1023"/>
      <c r="AK8" s="1006" t="s">
        <v>1415</v>
      </c>
      <c r="AP8" s="1017" t="s">
        <v>231</v>
      </c>
      <c r="AQ8" s="1018" t="s">
        <v>231</v>
      </c>
      <c r="AU8" s="1047" t="s">
        <v>1416</v>
      </c>
      <c r="AW8" s="1047" t="s">
        <v>1417</v>
      </c>
      <c r="AX8" s="1047" t="s">
        <v>1417</v>
      </c>
      <c r="AZ8" s="1047" t="s">
        <v>1418</v>
      </c>
      <c r="BB8" s="1047" t="s">
        <v>1419</v>
      </c>
      <c r="BC8" s="1047" t="s">
        <v>1367</v>
      </c>
      <c r="BE8" s="1047">
        <v>2006</v>
      </c>
      <c r="BF8" s="1047" t="s">
        <v>1420</v>
      </c>
      <c r="BH8" s="998" t="s">
        <v>1421</v>
      </c>
      <c r="BJ8" s="998" t="s">
        <v>1422</v>
      </c>
      <c r="BL8" s="998" t="s">
        <v>1422</v>
      </c>
      <c r="BN8" s="998" t="s">
        <v>1423</v>
      </c>
      <c r="BQ8" s="1208">
        <v>4213776</v>
      </c>
      <c r="BR8" s="998" t="s">
        <v>213</v>
      </c>
      <c r="BS8" s="1356"/>
      <c r="BT8" s="1208">
        <v>64236874</v>
      </c>
      <c r="BU8" s="1222" t="s">
        <v>1424</v>
      </c>
      <c r="BV8" s="1000"/>
      <c r="BW8" s="1622">
        <v>4213770</v>
      </c>
      <c r="BX8" s="1623" t="s">
        <v>1425</v>
      </c>
      <c r="BZ8" s="1208">
        <v>64237512</v>
      </c>
      <c r="CA8" s="998" t="s">
        <v>309</v>
      </c>
    </row>
    <row r="9" spans="1:79" ht="11.25" customHeight="1">
      <c r="A9" s="1004" t="s">
        <v>1426</v>
      </c>
      <c r="B9" s="1005">
        <v>2007</v>
      </c>
      <c r="E9" s="1006" t="s">
        <v>1427</v>
      </c>
      <c r="F9" s="1022"/>
      <c r="G9" s="997" t="s">
        <v>1428</v>
      </c>
      <c r="H9" s="997" t="s">
        <v>1429</v>
      </c>
      <c r="I9" s="1006" t="s">
        <v>117</v>
      </c>
      <c r="O9" s="1006" t="s">
        <v>1430</v>
      </c>
      <c r="V9" s="307" t="s">
        <v>117</v>
      </c>
      <c r="W9" s="1014"/>
      <c r="X9" s="1005" t="s">
        <v>237</v>
      </c>
      <c r="Y9" s="1005" t="s">
        <v>1269</v>
      </c>
      <c r="Z9" s="1020">
        <v>1</v>
      </c>
      <c r="AA9" s="1023"/>
      <c r="AK9" s="1006" t="s">
        <v>1431</v>
      </c>
      <c r="AP9" s="1017" t="s">
        <v>1432</v>
      </c>
      <c r="AQ9" s="1018" t="s">
        <v>1432</v>
      </c>
      <c r="AW9" s="1047" t="s">
        <v>1433</v>
      </c>
      <c r="AX9" s="1047" t="s">
        <v>1433</v>
      </c>
      <c r="AZ9" s="1047" t="s">
        <v>1434</v>
      </c>
      <c r="BB9" s="1047" t="s">
        <v>1435</v>
      </c>
      <c r="BC9" s="1047" t="s">
        <v>1367</v>
      </c>
      <c r="BE9" s="1047">
        <v>2007</v>
      </c>
      <c r="BF9" s="1047" t="s">
        <v>1436</v>
      </c>
      <c r="BH9" s="998" t="s">
        <v>1437</v>
      </c>
      <c r="BJ9" s="998" t="s">
        <v>1438</v>
      </c>
      <c r="BL9" s="998" t="s">
        <v>1438</v>
      </c>
      <c r="BN9" s="998" t="s">
        <v>1439</v>
      </c>
      <c r="BQ9" s="1208">
        <v>4213777</v>
      </c>
      <c r="BR9" s="998" t="s">
        <v>219</v>
      </c>
      <c r="BS9" s="1356"/>
      <c r="BT9" s="1208">
        <v>64236875</v>
      </c>
      <c r="BU9" s="998" t="s">
        <v>289</v>
      </c>
      <c r="BV9" s="1000"/>
      <c r="BW9" s="1617"/>
      <c r="BX9" s="1617"/>
    </row>
    <row r="10" spans="1:79" ht="11.25" customHeight="1">
      <c r="A10" s="1004" t="s">
        <v>1440</v>
      </c>
      <c r="B10" s="1005">
        <v>2008</v>
      </c>
      <c r="E10" s="1006" t="s">
        <v>1441</v>
      </c>
      <c r="F10" s="1022"/>
      <c r="G10" s="1006" t="s">
        <v>1442</v>
      </c>
      <c r="H10" s="1006" t="s">
        <v>1443</v>
      </c>
      <c r="I10" s="1006" t="s">
        <v>153</v>
      </c>
      <c r="J10" s="997" t="s">
        <v>1444</v>
      </c>
      <c r="K10" s="997" t="s">
        <v>1445</v>
      </c>
      <c r="O10" s="1006" t="s">
        <v>1446</v>
      </c>
      <c r="V10" s="308" t="s">
        <v>153</v>
      </c>
      <c r="W10" s="1026"/>
      <c r="X10" s="1026" t="s">
        <v>1447</v>
      </c>
      <c r="Y10" s="1027" t="s">
        <v>1448</v>
      </c>
      <c r="Z10" s="1020"/>
      <c r="AP10" s="1017" t="s">
        <v>1447</v>
      </c>
      <c r="AQ10" s="1018" t="s">
        <v>1447</v>
      </c>
      <c r="AW10" s="1047" t="s">
        <v>1449</v>
      </c>
      <c r="AX10" s="1047" t="s">
        <v>1449</v>
      </c>
      <c r="AZ10" s="1047" t="s">
        <v>1450</v>
      </c>
      <c r="BB10" s="1047" t="s">
        <v>1451</v>
      </c>
      <c r="BC10" s="1047" t="s">
        <v>1367</v>
      </c>
      <c r="BE10" s="1047">
        <v>2008</v>
      </c>
      <c r="BF10" s="1047" t="s">
        <v>1452</v>
      </c>
      <c r="BH10" s="998" t="s">
        <v>1453</v>
      </c>
      <c r="BJ10" s="998" t="s">
        <v>1454</v>
      </c>
      <c r="BL10" s="998" t="s">
        <v>1454</v>
      </c>
      <c r="BN10" s="998" t="s">
        <v>1455</v>
      </c>
      <c r="BQ10" s="1208">
        <v>4213778</v>
      </c>
      <c r="BR10" s="998" t="s">
        <v>225</v>
      </c>
      <c r="BS10" s="1356"/>
      <c r="BT10" s="1208">
        <v>64236876</v>
      </c>
      <c r="BU10" s="998" t="s">
        <v>269</v>
      </c>
      <c r="BV10" s="1000"/>
      <c r="BW10" s="1617"/>
      <c r="BX10" s="1617"/>
    </row>
    <row r="11" spans="1:79" ht="11.25" customHeight="1">
      <c r="A11" s="1004" t="s">
        <v>1456</v>
      </c>
      <c r="B11" s="1005">
        <v>2009</v>
      </c>
      <c r="E11" s="1006" t="s">
        <v>1457</v>
      </c>
      <c r="F11" s="1022"/>
      <c r="G11" s="1006" t="s">
        <v>1458</v>
      </c>
      <c r="H11" s="1006" t="s">
        <v>1459</v>
      </c>
      <c r="I11" s="1006" t="s">
        <v>154</v>
      </c>
      <c r="J11" s="1007" t="s">
        <v>1460</v>
      </c>
      <c r="K11" s="1028" t="s">
        <v>1461</v>
      </c>
      <c r="O11" s="1007" t="s">
        <v>1462</v>
      </c>
      <c r="V11" s="307" t="s">
        <v>154</v>
      </c>
      <c r="W11" s="213"/>
      <c r="X11" s="1014" t="s">
        <v>1432</v>
      </c>
      <c r="Y11" s="1005" t="s">
        <v>1463</v>
      </c>
      <c r="Z11" s="1020"/>
      <c r="AP11" s="1017" t="s">
        <v>237</v>
      </c>
      <c r="AQ11" s="1019" t="s">
        <v>237</v>
      </c>
      <c r="AW11" s="1047" t="s">
        <v>1464</v>
      </c>
      <c r="AX11" s="1047" t="s">
        <v>1464</v>
      </c>
      <c r="AZ11" s="1047" t="s">
        <v>1465</v>
      </c>
      <c r="BB11" s="1047" t="s">
        <v>1466</v>
      </c>
      <c r="BC11" s="1047" t="s">
        <v>1367</v>
      </c>
      <c r="BE11" s="1047">
        <v>2009</v>
      </c>
      <c r="BF11" s="1047" t="s">
        <v>1467</v>
      </c>
      <c r="BH11" s="998" t="s">
        <v>1468</v>
      </c>
      <c r="BJ11" s="998" t="s">
        <v>1437</v>
      </c>
      <c r="BL11" s="998" t="s">
        <v>1437</v>
      </c>
      <c r="BN11" s="998" t="s">
        <v>1469</v>
      </c>
      <c r="BQ11" s="1208">
        <v>4213780</v>
      </c>
      <c r="BR11" s="998" t="s">
        <v>231</v>
      </c>
      <c r="BS11" s="1356"/>
      <c r="BW11" s="1617"/>
      <c r="BX11" s="1617"/>
    </row>
    <row r="12" spans="1:79" ht="11.25" customHeight="1">
      <c r="A12" s="1004" t="s">
        <v>1470</v>
      </c>
      <c r="B12" s="1005">
        <v>2010</v>
      </c>
      <c r="E12" s="1006" t="s">
        <v>1471</v>
      </c>
      <c r="F12" s="1022"/>
      <c r="G12" s="1006" t="s">
        <v>1459</v>
      </c>
      <c r="I12" s="1006" t="s">
        <v>155</v>
      </c>
      <c r="J12" s="1007" t="s">
        <v>1472</v>
      </c>
      <c r="K12" s="1028" t="s">
        <v>1473</v>
      </c>
      <c r="O12" s="1007" t="s">
        <v>491</v>
      </c>
      <c r="V12" s="307" t="s">
        <v>155</v>
      </c>
      <c r="W12" s="1019"/>
      <c r="X12" s="1014" t="s">
        <v>1474</v>
      </c>
      <c r="Y12" s="1005" t="s">
        <v>1269</v>
      </c>
      <c r="AP12" s="1017"/>
      <c r="AW12" s="1047" t="s">
        <v>154</v>
      </c>
      <c r="AX12" s="1047" t="s">
        <v>154</v>
      </c>
      <c r="AZ12" s="1047" t="s">
        <v>1475</v>
      </c>
      <c r="BB12" s="1047" t="s">
        <v>1476</v>
      </c>
      <c r="BC12" s="1047" t="s">
        <v>1367</v>
      </c>
      <c r="BE12" s="1047">
        <v>2010</v>
      </c>
      <c r="BF12" s="1047" t="s">
        <v>1477</v>
      </c>
      <c r="BH12" s="998" t="s">
        <v>1478</v>
      </c>
      <c r="BJ12" s="998" t="s">
        <v>1479</v>
      </c>
      <c r="BL12" s="998" t="s">
        <v>1479</v>
      </c>
      <c r="BN12" s="998" t="s">
        <v>1480</v>
      </c>
      <c r="BQ12" s="1208">
        <v>4213779</v>
      </c>
      <c r="BR12" s="998" t="s">
        <v>1432</v>
      </c>
      <c r="BS12" s="1356"/>
      <c r="BT12" s="1000"/>
      <c r="BU12" s="1000"/>
      <c r="BV12" s="1000"/>
      <c r="BW12" s="1617"/>
      <c r="BX12" s="1617"/>
    </row>
    <row r="13" spans="1:79" ht="11.25" customHeight="1">
      <c r="A13" s="1004" t="s">
        <v>1481</v>
      </c>
      <c r="B13" s="1005">
        <v>2011</v>
      </c>
      <c r="E13" s="1006" t="s">
        <v>1482</v>
      </c>
      <c r="F13" s="1022"/>
      <c r="I13" s="1006" t="s">
        <v>156</v>
      </c>
      <c r="K13" s="1028" t="s">
        <v>1431</v>
      </c>
      <c r="V13" s="307" t="s">
        <v>156</v>
      </c>
      <c r="W13" s="1019"/>
      <c r="X13" s="1019"/>
      <c r="Y13" s="1019"/>
      <c r="AW13" s="1047" t="s">
        <v>155</v>
      </c>
      <c r="AX13" s="1047" t="s">
        <v>155</v>
      </c>
      <c r="BB13" s="1047" t="s">
        <v>1483</v>
      </c>
      <c r="BC13" s="1047" t="s">
        <v>1484</v>
      </c>
      <c r="BE13" s="1047">
        <v>2011</v>
      </c>
      <c r="BF13" s="1047" t="s">
        <v>1485</v>
      </c>
      <c r="BH13" s="998" t="s">
        <v>1486</v>
      </c>
      <c r="BJ13" s="998" t="s">
        <v>1468</v>
      </c>
      <c r="BL13" s="998" t="s">
        <v>1468</v>
      </c>
      <c r="BN13" s="998" t="s">
        <v>1487</v>
      </c>
      <c r="BQ13" s="1208">
        <v>4213783</v>
      </c>
      <c r="BR13" s="998" t="s">
        <v>1447</v>
      </c>
      <c r="BS13" s="1356"/>
      <c r="BT13" s="1000"/>
      <c r="BU13" s="1000"/>
      <c r="BV13" s="1000"/>
      <c r="BW13" s="1621"/>
      <c r="BX13" s="1617"/>
    </row>
    <row r="14" spans="1:79" ht="11.25" customHeight="1">
      <c r="A14" s="1004" t="s">
        <v>1488</v>
      </c>
      <c r="B14" s="1005">
        <v>2012</v>
      </c>
      <c r="I14" s="1006" t="s">
        <v>157</v>
      </c>
      <c r="J14" s="997" t="s">
        <v>1489</v>
      </c>
      <c r="N14" s="997" t="s">
        <v>1490</v>
      </c>
      <c r="V14" s="1013">
        <v>13</v>
      </c>
      <c r="W14" s="1014"/>
      <c r="X14" s="1014" t="s">
        <v>1299</v>
      </c>
      <c r="Y14" s="1005" t="s">
        <v>1269</v>
      </c>
      <c r="AW14" s="1047" t="s">
        <v>156</v>
      </c>
      <c r="AX14" s="1047" t="s">
        <v>156</v>
      </c>
      <c r="AZ14" s="997" t="s">
        <v>1491</v>
      </c>
      <c r="BB14" s="1047" t="s">
        <v>1492</v>
      </c>
      <c r="BC14" s="1047" t="s">
        <v>1484</v>
      </c>
      <c r="BE14" s="1047">
        <v>2012</v>
      </c>
      <c r="BH14" s="998" t="s">
        <v>1407</v>
      </c>
      <c r="BJ14" s="1144" t="s">
        <v>1493</v>
      </c>
      <c r="BL14" s="1144" t="s">
        <v>1493</v>
      </c>
      <c r="BN14" s="998" t="s">
        <v>1494</v>
      </c>
      <c r="BQ14" s="1208">
        <v>4213782</v>
      </c>
      <c r="BR14" s="998" t="s">
        <v>237</v>
      </c>
      <c r="BS14" s="1356"/>
      <c r="BT14" s="1000"/>
      <c r="BU14" s="1000"/>
      <c r="BV14" s="1000"/>
      <c r="BW14" s="1621"/>
      <c r="BX14" s="1617"/>
    </row>
    <row r="15" spans="1:79" ht="19.5" customHeight="1">
      <c r="A15" s="1004" t="s">
        <v>1495</v>
      </c>
      <c r="B15" s="1005">
        <v>2013</v>
      </c>
      <c r="E15" s="1625" t="s">
        <v>1496</v>
      </c>
      <c r="G15" s="997" t="s">
        <v>1497</v>
      </c>
      <c r="H15" s="997" t="s">
        <v>1498</v>
      </c>
      <c r="I15" s="1008" t="s">
        <v>158</v>
      </c>
      <c r="J15" s="1019" t="s">
        <v>629</v>
      </c>
      <c r="N15" s="1085" t="s">
        <v>1499</v>
      </c>
      <c r="X15" s="1017"/>
      <c r="AW15" s="1047" t="s">
        <v>157</v>
      </c>
      <c r="AX15" s="1047" t="s">
        <v>157</v>
      </c>
      <c r="AZ15" s="1047" t="s">
        <v>1418</v>
      </c>
      <c r="BB15" s="1047" t="s">
        <v>1500</v>
      </c>
      <c r="BC15" s="1047" t="s">
        <v>1484</v>
      </c>
      <c r="BE15" s="1047">
        <v>2013</v>
      </c>
      <c r="BH15" s="998" t="s">
        <v>1423</v>
      </c>
      <c r="BJ15" s="1144" t="s">
        <v>1501</v>
      </c>
      <c r="BL15" s="1144" t="s">
        <v>1501</v>
      </c>
      <c r="BN15" s="998" t="s">
        <v>1502</v>
      </c>
      <c r="BR15" s="1000"/>
      <c r="BS15" s="1358"/>
      <c r="BT15" s="1000"/>
      <c r="BU15" s="1000"/>
      <c r="BV15" s="1000"/>
      <c r="BW15" s="1621"/>
      <c r="BX15" s="1617"/>
    </row>
    <row r="16" spans="1:79" ht="21" customHeight="1">
      <c r="A16" s="1795" t="s">
        <v>1503</v>
      </c>
      <c r="B16" s="1005">
        <v>2014</v>
      </c>
      <c r="E16" s="1626" t="s">
        <v>1504</v>
      </c>
      <c r="G16" s="1006" t="s">
        <v>1505</v>
      </c>
      <c r="H16" s="1006" t="s">
        <v>1506</v>
      </c>
      <c r="I16" s="1008" t="s">
        <v>1507</v>
      </c>
      <c r="J16" s="1019" t="s">
        <v>602</v>
      </c>
      <c r="N16" s="1085" t="s">
        <v>1508</v>
      </c>
      <c r="AW16" s="1047" t="s">
        <v>158</v>
      </c>
      <c r="AX16" s="1047" t="s">
        <v>158</v>
      </c>
      <c r="AZ16" s="1047" t="s">
        <v>1434</v>
      </c>
      <c r="BB16" s="1047" t="s">
        <v>1509</v>
      </c>
      <c r="BC16" s="1047" t="s">
        <v>1484</v>
      </c>
      <c r="BE16" s="1047">
        <v>2014</v>
      </c>
      <c r="BH16" s="998" t="s">
        <v>1439</v>
      </c>
      <c r="BJ16" s="1144" t="s">
        <v>1510</v>
      </c>
      <c r="BL16" s="1144" t="s">
        <v>1510</v>
      </c>
      <c r="BN16" s="998" t="s">
        <v>1511</v>
      </c>
      <c r="BR16" s="1000"/>
      <c r="BS16" s="1358"/>
      <c r="BT16" s="1000"/>
      <c r="BU16" s="1000"/>
      <c r="BV16" s="1000"/>
      <c r="BW16" s="1621"/>
      <c r="BX16" s="1617"/>
    </row>
    <row r="17" spans="1:82" ht="21" customHeight="1">
      <c r="A17" s="1004" t="s">
        <v>1512</v>
      </c>
      <c r="B17" s="1005">
        <v>2015</v>
      </c>
      <c r="G17" s="1006" t="s">
        <v>1459</v>
      </c>
      <c r="H17" s="1006" t="s">
        <v>1459</v>
      </c>
      <c r="I17" s="1006" t="s">
        <v>1513</v>
      </c>
      <c r="N17" s="1085" t="s">
        <v>1514</v>
      </c>
      <c r="X17" s="1017"/>
      <c r="AW17" s="1047" t="s">
        <v>1507</v>
      </c>
      <c r="AX17" s="1047" t="s">
        <v>1507</v>
      </c>
      <c r="AZ17" s="1047" t="s">
        <v>1515</v>
      </c>
      <c r="BB17" s="1047" t="s">
        <v>1516</v>
      </c>
      <c r="BC17" s="1047" t="s">
        <v>1367</v>
      </c>
      <c r="BE17" s="1047">
        <v>2015</v>
      </c>
      <c r="BH17" s="998" t="s">
        <v>1455</v>
      </c>
      <c r="BJ17" s="1144" t="s">
        <v>1517</v>
      </c>
      <c r="BL17" s="1144" t="s">
        <v>1517</v>
      </c>
      <c r="BN17" s="998" t="s">
        <v>1518</v>
      </c>
      <c r="BR17" s="997" t="s">
        <v>1310</v>
      </c>
      <c r="BS17" s="1355"/>
      <c r="BU17" s="997" t="s">
        <v>1519</v>
      </c>
      <c r="BV17" s="1000"/>
      <c r="BW17" s="1617"/>
      <c r="BX17" s="1619" t="s">
        <v>1520</v>
      </c>
      <c r="CA17" s="997" t="s">
        <v>1521</v>
      </c>
      <c r="CD17" s="997" t="s">
        <v>1522</v>
      </c>
    </row>
    <row r="18" spans="1:82" ht="21" customHeight="1">
      <c r="A18" s="1004" t="s">
        <v>1523</v>
      </c>
      <c r="B18" s="1005">
        <v>2016</v>
      </c>
      <c r="E18" s="1927" t="s">
        <v>1524</v>
      </c>
      <c r="I18" s="1006" t="s">
        <v>1525</v>
      </c>
      <c r="N18" s="1085" t="s">
        <v>1526</v>
      </c>
      <c r="X18" s="1017"/>
      <c r="AW18" s="1047" t="s">
        <v>1513</v>
      </c>
      <c r="AX18" s="1047" t="s">
        <v>1513</v>
      </c>
      <c r="BB18" s="1047" t="s">
        <v>1527</v>
      </c>
      <c r="BC18" s="1047" t="s">
        <v>1367</v>
      </c>
      <c r="BE18" s="1047">
        <v>2016</v>
      </c>
      <c r="BH18" s="998" t="s">
        <v>1469</v>
      </c>
      <c r="BJ18" s="1144" t="s">
        <v>1528</v>
      </c>
      <c r="BL18" s="1144" t="s">
        <v>1528</v>
      </c>
      <c r="BN18" s="998" t="s">
        <v>1529</v>
      </c>
      <c r="BQ18" s="1359" t="s">
        <v>1340</v>
      </c>
      <c r="BR18" s="1086" t="s">
        <v>1341</v>
      </c>
      <c r="BS18" s="212"/>
      <c r="BT18" s="1359" t="s">
        <v>1530</v>
      </c>
      <c r="BU18" s="1086" t="s">
        <v>1531</v>
      </c>
      <c r="BV18" s="1000"/>
      <c r="BW18" s="1624" t="s">
        <v>1532</v>
      </c>
      <c r="BX18" s="1618" t="s">
        <v>1533</v>
      </c>
      <c r="BZ18" s="1359" t="s">
        <v>1534</v>
      </c>
      <c r="CA18" s="1086" t="s">
        <v>1535</v>
      </c>
      <c r="CC18" s="1359" t="s">
        <v>1536</v>
      </c>
      <c r="CD18" s="1086" t="s">
        <v>1537</v>
      </c>
    </row>
    <row r="19" spans="1:82" ht="21" customHeight="1">
      <c r="A19" s="1795" t="s">
        <v>1538</v>
      </c>
      <c r="B19" s="1005">
        <v>2017</v>
      </c>
      <c r="E19" s="1004" t="s">
        <v>165</v>
      </c>
      <c r="I19" s="1006" t="s">
        <v>1539</v>
      </c>
      <c r="N19" s="1085" t="s">
        <v>1540</v>
      </c>
      <c r="X19" s="1017"/>
      <c r="AW19" s="1047" t="s">
        <v>1525</v>
      </c>
      <c r="AX19" s="1047" t="s">
        <v>1525</v>
      </c>
      <c r="AZ19" s="997" t="s">
        <v>1541</v>
      </c>
      <c r="BB19" s="1047" t="s">
        <v>1542</v>
      </c>
      <c r="BC19" s="1047" t="s">
        <v>1367</v>
      </c>
      <c r="BE19" s="1047">
        <v>2017</v>
      </c>
      <c r="BH19" s="998" t="s">
        <v>1543</v>
      </c>
      <c r="BJ19" s="1144" t="s">
        <v>1544</v>
      </c>
      <c r="BL19" s="1144" t="s">
        <v>1544</v>
      </c>
      <c r="BQ19" s="1208">
        <v>4190064</v>
      </c>
      <c r="BR19" s="998" t="s">
        <v>1545</v>
      </c>
      <c r="BS19" s="1356"/>
      <c r="BT19" s="1208">
        <v>4189671</v>
      </c>
      <c r="BU19" s="998" t="s">
        <v>1546</v>
      </c>
      <c r="BV19" s="1000"/>
      <c r="BW19" s="1622">
        <v>4189706</v>
      </c>
      <c r="BX19" s="1620" t="s">
        <v>1547</v>
      </c>
      <c r="BZ19" s="1208">
        <v>4189714</v>
      </c>
      <c r="CA19" s="998" t="s">
        <v>1548</v>
      </c>
      <c r="CC19" s="1208">
        <v>4189708</v>
      </c>
      <c r="CD19" s="998" t="s">
        <v>1549</v>
      </c>
    </row>
    <row r="20" spans="1:82" ht="21" customHeight="1">
      <c r="A20" s="1004" t="s">
        <v>1550</v>
      </c>
      <c r="B20" s="1005">
        <v>2018</v>
      </c>
      <c r="E20" s="1004" t="s">
        <v>1299</v>
      </c>
      <c r="I20" s="1006" t="s">
        <v>1551</v>
      </c>
      <c r="N20" s="1085" t="s">
        <v>1552</v>
      </c>
      <c r="AW20" s="1047" t="s">
        <v>1539</v>
      </c>
      <c r="AX20" s="1047" t="s">
        <v>1539</v>
      </c>
      <c r="AZ20" s="1047" t="s">
        <v>1553</v>
      </c>
      <c r="BB20" s="1047" t="s">
        <v>1554</v>
      </c>
      <c r="BC20" s="1047" t="s">
        <v>1484</v>
      </c>
      <c r="BE20" s="1047">
        <v>2018</v>
      </c>
      <c r="BH20" s="998" t="s">
        <v>1480</v>
      </c>
      <c r="BJ20" s="998" t="s">
        <v>1407</v>
      </c>
      <c r="BL20" s="998" t="s">
        <v>1407</v>
      </c>
      <c r="BQ20" s="1208">
        <v>4190065</v>
      </c>
      <c r="BR20" s="998" t="s">
        <v>1555</v>
      </c>
      <c r="BS20" s="1356"/>
      <c r="BT20" s="1208">
        <v>4189672</v>
      </c>
      <c r="BU20" s="998" t="s">
        <v>1556</v>
      </c>
      <c r="BV20" s="1000"/>
      <c r="BW20" s="1622">
        <v>4189705</v>
      </c>
      <c r="BX20" s="1620" t="s">
        <v>1557</v>
      </c>
      <c r="BZ20" s="1208">
        <v>4189713</v>
      </c>
      <c r="CA20" s="998" t="s">
        <v>1557</v>
      </c>
      <c r="CC20" s="1208">
        <v>4189709</v>
      </c>
      <c r="CD20" s="998" t="s">
        <v>1558</v>
      </c>
    </row>
    <row r="21" spans="1:82" ht="21" customHeight="1">
      <c r="A21" s="1004" t="s">
        <v>1559</v>
      </c>
      <c r="B21" s="1005">
        <v>2019</v>
      </c>
      <c r="I21" s="1006" t="s">
        <v>1560</v>
      </c>
      <c r="N21" s="1085" t="s">
        <v>1561</v>
      </c>
      <c r="AW21" s="1047" t="s">
        <v>1551</v>
      </c>
      <c r="AX21" s="1047" t="s">
        <v>1551</v>
      </c>
      <c r="AZ21" s="1047" t="s">
        <v>1562</v>
      </c>
      <c r="BB21" s="1047" t="s">
        <v>1563</v>
      </c>
      <c r="BC21" s="1047" t="s">
        <v>1367</v>
      </c>
      <c r="BE21" s="1047">
        <v>2019</v>
      </c>
      <c r="BH21" s="998" t="s">
        <v>1487</v>
      </c>
      <c r="BJ21" s="998" t="s">
        <v>1423</v>
      </c>
      <c r="BL21" s="998" t="s">
        <v>1423</v>
      </c>
      <c r="BQ21" s="1208">
        <v>4190066</v>
      </c>
      <c r="BR21" s="998" t="s">
        <v>1564</v>
      </c>
      <c r="BS21" s="1356"/>
      <c r="BT21" s="1208">
        <v>4189673</v>
      </c>
      <c r="BU21" s="998" t="s">
        <v>1565</v>
      </c>
      <c r="BV21" s="1000"/>
      <c r="BW21" s="1622">
        <v>4189707</v>
      </c>
      <c r="BX21" s="1620" t="s">
        <v>1566</v>
      </c>
      <c r="BZ21" s="1208">
        <v>4189712</v>
      </c>
      <c r="CA21" s="998" t="s">
        <v>1567</v>
      </c>
      <c r="CC21" s="1208">
        <v>4189710</v>
      </c>
      <c r="CD21" s="998" t="s">
        <v>1568</v>
      </c>
    </row>
    <row r="22" spans="1:82" ht="21" customHeight="1">
      <c r="A22" s="1004" t="s">
        <v>1569</v>
      </c>
      <c r="B22" s="1005">
        <v>2020</v>
      </c>
      <c r="N22" s="1085" t="s">
        <v>1570</v>
      </c>
      <c r="AW22" s="1047" t="s">
        <v>1560</v>
      </c>
      <c r="AX22" s="1047" t="s">
        <v>1560</v>
      </c>
      <c r="AZ22" s="1047" t="s">
        <v>1571</v>
      </c>
      <c r="BB22" s="1047" t="s">
        <v>1572</v>
      </c>
      <c r="BC22" s="1047" t="s">
        <v>1367</v>
      </c>
      <c r="BE22" s="1047">
        <v>2020</v>
      </c>
      <c r="BH22" s="998" t="s">
        <v>1494</v>
      </c>
      <c r="BJ22" s="998" t="s">
        <v>1439</v>
      </c>
      <c r="BL22" s="998" t="s">
        <v>1439</v>
      </c>
      <c r="BQ22" s="1208">
        <v>4190067</v>
      </c>
      <c r="BR22" s="998" t="s">
        <v>1573</v>
      </c>
      <c r="BS22" s="1356"/>
      <c r="BT22" s="1208">
        <v>4189674</v>
      </c>
      <c r="BU22" s="998" t="s">
        <v>1574</v>
      </c>
      <c r="BV22" s="1000"/>
      <c r="BW22" s="1000"/>
      <c r="CC22" s="1208">
        <v>4189711</v>
      </c>
      <c r="CD22" s="998" t="s">
        <v>338</v>
      </c>
    </row>
    <row r="23" spans="1:82" ht="21" customHeight="1">
      <c r="A23" s="1004" t="s">
        <v>1575</v>
      </c>
      <c r="B23" s="1005">
        <v>2021</v>
      </c>
      <c r="AW23" s="1047" t="s">
        <v>1576</v>
      </c>
      <c r="AX23" s="1047" t="s">
        <v>1576</v>
      </c>
      <c r="AZ23" s="1047" t="s">
        <v>1577</v>
      </c>
      <c r="BB23" s="1047" t="s">
        <v>1578</v>
      </c>
      <c r="BC23" s="1047" t="s">
        <v>1279</v>
      </c>
      <c r="BE23" s="1047">
        <v>2021</v>
      </c>
      <c r="BH23" s="998" t="s">
        <v>1502</v>
      </c>
      <c r="BJ23" s="998" t="s">
        <v>1455</v>
      </c>
      <c r="BL23" s="998" t="s">
        <v>1455</v>
      </c>
      <c r="BQ23" s="1208">
        <v>4190068</v>
      </c>
      <c r="BR23" s="998" t="s">
        <v>1579</v>
      </c>
      <c r="BS23" s="1356"/>
      <c r="BT23" s="1208">
        <v>4189675</v>
      </c>
      <c r="BU23" s="998" t="s">
        <v>1580</v>
      </c>
      <c r="BV23" s="1000"/>
      <c r="BW23" s="1000"/>
      <c r="CC23" s="1208">
        <v>5110778</v>
      </c>
      <c r="CD23" s="998" t="s">
        <v>1581</v>
      </c>
    </row>
    <row r="24" spans="1:82" ht="21" customHeight="1">
      <c r="A24" s="1004" t="s">
        <v>1582</v>
      </c>
      <c r="B24" s="1005">
        <v>2022</v>
      </c>
      <c r="AW24" s="1047" t="s">
        <v>1583</v>
      </c>
      <c r="AX24" s="1047" t="s">
        <v>1583</v>
      </c>
      <c r="AZ24" s="1047" t="s">
        <v>1584</v>
      </c>
      <c r="BB24" s="1047" t="s">
        <v>1585</v>
      </c>
      <c r="BC24" s="1047" t="s">
        <v>1586</v>
      </c>
      <c r="BE24" s="1047">
        <v>2022</v>
      </c>
      <c r="BH24" s="998" t="s">
        <v>1511</v>
      </c>
      <c r="BJ24" s="998" t="s">
        <v>1469</v>
      </c>
      <c r="BL24" s="998" t="s">
        <v>1469</v>
      </c>
      <c r="BQ24" s="1208">
        <v>4190069</v>
      </c>
      <c r="BR24" s="998" t="s">
        <v>1587</v>
      </c>
      <c r="BS24" s="1356"/>
      <c r="BT24" s="1208">
        <v>4189676</v>
      </c>
      <c r="BU24" s="998" t="s">
        <v>1588</v>
      </c>
      <c r="BV24" s="1000"/>
      <c r="BW24" s="1000"/>
      <c r="CC24" s="1208">
        <v>25575374</v>
      </c>
      <c r="CD24" s="998" t="s">
        <v>1589</v>
      </c>
    </row>
    <row r="25" spans="1:82" ht="11.25" customHeight="1">
      <c r="A25" s="1004" t="s">
        <v>1590</v>
      </c>
      <c r="B25" s="1005">
        <v>2023</v>
      </c>
      <c r="AW25" s="1047" t="s">
        <v>1591</v>
      </c>
      <c r="AX25" s="1047" t="s">
        <v>1591</v>
      </c>
      <c r="AZ25" s="1047" t="s">
        <v>1592</v>
      </c>
      <c r="BB25" s="1047" t="s">
        <v>1593</v>
      </c>
      <c r="BC25" s="1047" t="s">
        <v>1586</v>
      </c>
      <c r="BE25" s="1047">
        <v>2023</v>
      </c>
      <c r="BH25" s="998" t="s">
        <v>1518</v>
      </c>
      <c r="BJ25" s="998" t="s">
        <v>1543</v>
      </c>
      <c r="BL25" s="998" t="s">
        <v>1543</v>
      </c>
      <c r="BQ25" s="1208">
        <v>4190070</v>
      </c>
      <c r="BR25" s="998" t="s">
        <v>1594</v>
      </c>
      <c r="BS25" s="1356"/>
      <c r="BT25" s="1208">
        <v>4189677</v>
      </c>
      <c r="BU25" s="998" t="s">
        <v>1595</v>
      </c>
      <c r="BV25" s="1000"/>
      <c r="BW25" s="1000"/>
    </row>
    <row r="26" spans="1:82" ht="11.25" customHeight="1">
      <c r="A26" s="1004" t="s">
        <v>1596</v>
      </c>
      <c r="B26" s="1005">
        <v>2024</v>
      </c>
      <c r="J26" s="1657" t="s">
        <v>1597</v>
      </c>
      <c r="AX26" s="1047" t="s">
        <v>1598</v>
      </c>
      <c r="AZ26" s="1047" t="s">
        <v>1462</v>
      </c>
      <c r="BB26" s="1047" t="s">
        <v>1599</v>
      </c>
      <c r="BC26" s="1047" t="s">
        <v>1586</v>
      </c>
      <c r="BE26" s="1047">
        <v>2024</v>
      </c>
      <c r="BH26" s="998" t="s">
        <v>1529</v>
      </c>
      <c r="BJ26" s="998" t="s">
        <v>1480</v>
      </c>
      <c r="BL26" s="998" t="s">
        <v>1480</v>
      </c>
      <c r="BQ26" s="1208">
        <v>4190071</v>
      </c>
      <c r="BR26" s="998" t="s">
        <v>1600</v>
      </c>
      <c r="BS26" s="1356"/>
      <c r="BV26" s="1000"/>
      <c r="BW26" s="1000"/>
    </row>
    <row r="27" spans="1:82" ht="11.25" customHeight="1">
      <c r="A27" s="1004" t="s">
        <v>1601</v>
      </c>
      <c r="B27" s="1005">
        <v>2025</v>
      </c>
      <c r="J27" s="114" t="s">
        <v>179</v>
      </c>
      <c r="AX27" s="1047" t="s">
        <v>1602</v>
      </c>
      <c r="BB27" s="1047" t="s">
        <v>1603</v>
      </c>
      <c r="BC27" s="1047" t="s">
        <v>1586</v>
      </c>
      <c r="BE27" s="1047">
        <v>2025</v>
      </c>
      <c r="BH27" s="1000" t="s">
        <v>30</v>
      </c>
      <c r="BJ27" s="998" t="s">
        <v>1487</v>
      </c>
      <c r="BL27" s="998" t="s">
        <v>1487</v>
      </c>
      <c r="BN27" s="1000" t="s">
        <v>30</v>
      </c>
      <c r="BQ27" s="1208">
        <v>4190072</v>
      </c>
      <c r="BR27" s="998" t="s">
        <v>1604</v>
      </c>
      <c r="BS27" s="1356"/>
      <c r="BV27" s="1000"/>
      <c r="BW27" s="1000"/>
    </row>
    <row r="28" spans="1:82" ht="11.25" customHeight="1">
      <c r="A28" s="1004" t="s">
        <v>1605</v>
      </c>
      <c r="D28" s="1029"/>
      <c r="E28" s="1030"/>
      <c r="F28" s="1030"/>
      <c r="H28" s="1031" t="s">
        <v>1606</v>
      </c>
      <c r="AX28" s="1047" t="s">
        <v>1607</v>
      </c>
      <c r="AZ28" s="997" t="s">
        <v>1608</v>
      </c>
      <c r="BB28" s="1047" t="s">
        <v>1609</v>
      </c>
      <c r="BC28" s="1047" t="s">
        <v>1610</v>
      </c>
      <c r="BE28" s="1047">
        <v>2026</v>
      </c>
      <c r="BH28" s="1000" t="s">
        <v>30</v>
      </c>
      <c r="BJ28" s="998" t="s">
        <v>1494</v>
      </c>
      <c r="BL28" s="998" t="s">
        <v>1494</v>
      </c>
      <c r="BN28" s="1000" t="s">
        <v>30</v>
      </c>
      <c r="BQ28" s="1208">
        <v>4190073</v>
      </c>
      <c r="BR28" s="998" t="s">
        <v>1611</v>
      </c>
      <c r="BS28" s="1356"/>
      <c r="BV28" s="1000"/>
      <c r="BW28" s="1000"/>
    </row>
    <row r="29" spans="1:82" ht="11.25" customHeight="1">
      <c r="A29" s="1004" t="s">
        <v>1612</v>
      </c>
      <c r="D29" s="1032" t="s">
        <v>1613</v>
      </c>
      <c r="E29" s="1033" t="str">
        <f>IF(TEMPLATE_GROUP="","",INDEX(StartDateList,MATCH(TEMPLATE_GROUP,CodeTemplateList,0),1))</f>
        <v>01.01.2025</v>
      </c>
      <c r="F29" s="1033" t="str">
        <f>IF(TEMPLATE_GROUP="","",INDEX(EndDateList,MATCH(TEMPLATE_GROUP,CodeTemplateList,0),1))</f>
        <v>31.12.2025</v>
      </c>
      <c r="H29" s="1034" t="s">
        <v>1614</v>
      </c>
      <c r="AX29" s="1047" t="s">
        <v>1615</v>
      </c>
      <c r="AZ29" s="1047" t="s">
        <v>492</v>
      </c>
      <c r="BB29" s="1047" t="s">
        <v>1462</v>
      </c>
      <c r="BC29" s="1020"/>
      <c r="BE29" s="1047">
        <v>2027</v>
      </c>
      <c r="BJ29" s="998" t="s">
        <v>1502</v>
      </c>
      <c r="BL29" s="998" t="s">
        <v>1502</v>
      </c>
    </row>
    <row r="30" spans="1:82" ht="11.25" customHeight="1">
      <c r="A30" s="1004" t="s">
        <v>1616</v>
      </c>
      <c r="D30" s="1035"/>
      <c r="E30" s="1036"/>
      <c r="F30" s="1036"/>
      <c r="AX30" s="1047" t="s">
        <v>1617</v>
      </c>
      <c r="AZ30" s="1047" t="s">
        <v>495</v>
      </c>
      <c r="BE30" s="1047">
        <v>2028</v>
      </c>
      <c r="BJ30" s="998" t="s">
        <v>1618</v>
      </c>
      <c r="BL30" s="998" t="s">
        <v>1618</v>
      </c>
    </row>
    <row r="31" spans="1:82" ht="12.75" customHeight="1">
      <c r="A31" s="1004" t="s">
        <v>1619</v>
      </c>
      <c r="D31" s="1029"/>
      <c r="E31" s="1030"/>
      <c r="F31" s="1030"/>
      <c r="H31" s="1037"/>
      <c r="AX31" s="1047" t="s">
        <v>1620</v>
      </c>
      <c r="AZ31" s="1047" t="s">
        <v>1621</v>
      </c>
      <c r="BE31" s="1047">
        <v>2029</v>
      </c>
      <c r="BJ31" s="998" t="s">
        <v>1622</v>
      </c>
      <c r="BL31" s="998" t="s">
        <v>1622</v>
      </c>
    </row>
    <row r="32" spans="1:82" ht="11.25" customHeight="1">
      <c r="A32" s="1004" t="s">
        <v>1623</v>
      </c>
      <c r="D32" s="1032" t="s">
        <v>1624</v>
      </c>
      <c r="E32" s="1033" t="str">
        <f>IF(TEMPLATE_GROUP="","",INDEX(StartDateList,MATCH(TEMPLATE_GROUP,CodeTemplateList,0),1))</f>
        <v>01.01.2025</v>
      </c>
      <c r="F32" s="1033" t="str">
        <f>IF(TEMPLATE_GROUP="","",INDEX(EndDateList,MATCH(TEMPLATE_GROUP,CodeTemplateList,0),1))</f>
        <v>31.12.2025</v>
      </c>
      <c r="H32" s="1038" t="s">
        <v>1625</v>
      </c>
      <c r="O32" s="1004" t="s">
        <v>493</v>
      </c>
      <c r="AX32" s="1047" t="s">
        <v>1626</v>
      </c>
      <c r="AZ32" s="1047" t="s">
        <v>494</v>
      </c>
      <c r="BE32" s="1047">
        <v>2030</v>
      </c>
      <c r="BJ32" s="998" t="s">
        <v>1511</v>
      </c>
      <c r="BL32" s="998" t="s">
        <v>1511</v>
      </c>
    </row>
    <row r="33" spans="1:66" ht="11.25" customHeight="1">
      <c r="A33" s="1004" t="s">
        <v>1627</v>
      </c>
      <c r="O33" s="1004" t="s">
        <v>1287</v>
      </c>
      <c r="AX33" s="1047" t="s">
        <v>1628</v>
      </c>
      <c r="AZ33" s="1047" t="s">
        <v>491</v>
      </c>
      <c r="BE33" s="1047">
        <v>2031</v>
      </c>
      <c r="BJ33" s="998" t="s">
        <v>1518</v>
      </c>
      <c r="BL33" s="998" t="s">
        <v>1518</v>
      </c>
    </row>
    <row r="34" spans="1:66" ht="11.25" customHeight="1">
      <c r="A34" s="1004" t="s">
        <v>1629</v>
      </c>
      <c r="O34" s="1004" t="s">
        <v>1321</v>
      </c>
      <c r="AX34" s="1047" t="s">
        <v>1630</v>
      </c>
      <c r="BE34" s="1047">
        <v>2032</v>
      </c>
      <c r="BJ34" s="998" t="s">
        <v>1529</v>
      </c>
      <c r="BL34" s="998" t="s">
        <v>1529</v>
      </c>
    </row>
    <row r="35" spans="1:66" ht="11.25" customHeight="1">
      <c r="A35" s="1004" t="s">
        <v>1631</v>
      </c>
      <c r="O35" s="1004" t="s">
        <v>1354</v>
      </c>
      <c r="AX35" s="1047" t="s">
        <v>1632</v>
      </c>
      <c r="AZ35" s="997" t="s">
        <v>1633</v>
      </c>
      <c r="BE35" s="1047">
        <v>2033</v>
      </c>
      <c r="BL35" s="998" t="s">
        <v>1634</v>
      </c>
    </row>
    <row r="36" spans="1:66" ht="11.25" customHeight="1">
      <c r="A36" s="1795" t="s">
        <v>1635</v>
      </c>
      <c r="D36" s="1039" t="s">
        <v>1636</v>
      </c>
      <c r="E36" s="1040" t="s">
        <v>853</v>
      </c>
      <c r="F36" s="1041" t="str">
        <f>INDEX(E37:E41,MATCH(TEMPLATE_SPHERE,F37:F41,0))</f>
        <v>теплоснабжения</v>
      </c>
      <c r="G36" s="1041" t="str">
        <f>INDEX(G37:G41,MATCH(TEMPLATE_SPHERE,F37:F41,0))</f>
        <v>теплоснабжение</v>
      </c>
      <c r="O36" s="1004" t="s">
        <v>1378</v>
      </c>
      <c r="AX36" s="1047" t="s">
        <v>1637</v>
      </c>
      <c r="AZ36" s="1047" t="s">
        <v>491</v>
      </c>
      <c r="BE36" s="1047">
        <v>2034</v>
      </c>
      <c r="BL36" s="998" t="s">
        <v>1638</v>
      </c>
    </row>
    <row r="37" spans="1:66" ht="11.25" customHeight="1">
      <c r="A37" s="1004" t="s">
        <v>1639</v>
      </c>
      <c r="E37" s="344" t="s">
        <v>1640</v>
      </c>
      <c r="F37" s="1042" t="s">
        <v>853</v>
      </c>
      <c r="G37" s="344" t="s">
        <v>1641</v>
      </c>
      <c r="O37" s="1004" t="s">
        <v>1397</v>
      </c>
      <c r="AX37" s="1047" t="s">
        <v>1642</v>
      </c>
      <c r="AZ37" s="1047" t="s">
        <v>1288</v>
      </c>
      <c r="BE37" s="1047">
        <v>2035</v>
      </c>
    </row>
    <row r="38" spans="1:66" ht="11.25" customHeight="1">
      <c r="A38" s="1004" t="s">
        <v>1643</v>
      </c>
      <c r="E38" s="344" t="s">
        <v>1644</v>
      </c>
      <c r="F38" s="1043" t="s">
        <v>899</v>
      </c>
      <c r="G38" s="344" t="s">
        <v>1645</v>
      </c>
      <c r="O38" s="1004" t="s">
        <v>1414</v>
      </c>
      <c r="AX38" s="1047" t="s">
        <v>1646</v>
      </c>
      <c r="AZ38" s="1047" t="s">
        <v>1322</v>
      </c>
      <c r="BE38" s="1047">
        <v>2036</v>
      </c>
      <c r="BH38" s="997" t="s">
        <v>1647</v>
      </c>
      <c r="BJ38" s="997" t="s">
        <v>1648</v>
      </c>
      <c r="BL38" s="997" t="s">
        <v>1649</v>
      </c>
      <c r="BN38" s="997" t="s">
        <v>1650</v>
      </c>
    </row>
    <row r="39" spans="1:66" ht="11.25" customHeight="1">
      <c r="A39" s="1004" t="s">
        <v>1651</v>
      </c>
      <c r="E39" s="344" t="s">
        <v>1652</v>
      </c>
      <c r="F39" s="1043" t="s">
        <v>952</v>
      </c>
      <c r="G39" s="344" t="s">
        <v>1653</v>
      </c>
      <c r="O39" s="1004" t="s">
        <v>1430</v>
      </c>
      <c r="AX39" s="1047" t="s">
        <v>1654</v>
      </c>
      <c r="AZ39" s="1047" t="s">
        <v>1355</v>
      </c>
      <c r="BE39" s="1047">
        <v>2037</v>
      </c>
      <c r="BH39" s="998" t="s">
        <v>1655</v>
      </c>
      <c r="BJ39" s="1144" t="s">
        <v>1655</v>
      </c>
      <c r="BL39" s="1144" t="s">
        <v>1655</v>
      </c>
      <c r="BN39" s="998" t="s">
        <v>1656</v>
      </c>
    </row>
    <row r="40" spans="1:66" ht="11.25" customHeight="1">
      <c r="A40" s="1004" t="s">
        <v>1657</v>
      </c>
      <c r="E40" s="344" t="s">
        <v>1658</v>
      </c>
      <c r="F40" s="1043" t="s">
        <v>939</v>
      </c>
      <c r="G40" s="344" t="s">
        <v>1659</v>
      </c>
      <c r="O40" s="1004" t="s">
        <v>1446</v>
      </c>
      <c r="AX40" s="1047" t="s">
        <v>1660</v>
      </c>
      <c r="BE40" s="1047">
        <v>2038</v>
      </c>
      <c r="BH40" s="998" t="s">
        <v>1661</v>
      </c>
      <c r="BJ40" s="1144" t="s">
        <v>1072</v>
      </c>
      <c r="BL40" s="1144" t="s">
        <v>1072</v>
      </c>
      <c r="BN40" s="998" t="s">
        <v>1106</v>
      </c>
    </row>
    <row r="41" spans="1:66" ht="11.25" customHeight="1">
      <c r="A41" s="1004" t="s">
        <v>1662</v>
      </c>
      <c r="E41" s="344" t="s">
        <v>1663</v>
      </c>
      <c r="F41" s="1043" t="s">
        <v>1664</v>
      </c>
      <c r="G41" s="344" t="s">
        <v>1663</v>
      </c>
      <c r="O41" s="1004" t="s">
        <v>1462</v>
      </c>
      <c r="AX41" s="1047" t="s">
        <v>1665</v>
      </c>
      <c r="AZ41" s="997" t="s">
        <v>1666</v>
      </c>
      <c r="BE41" s="1047">
        <v>2039</v>
      </c>
      <c r="BH41" s="998" t="s">
        <v>1667</v>
      </c>
      <c r="BJ41" s="1144" t="s">
        <v>1068</v>
      </c>
      <c r="BL41" s="1144" t="s">
        <v>1068</v>
      </c>
      <c r="BN41" s="998" t="s">
        <v>1093</v>
      </c>
    </row>
    <row r="42" spans="1:66" ht="11.25" customHeight="1">
      <c r="A42" s="1004" t="s">
        <v>1668</v>
      </c>
      <c r="AX42" s="1047" t="s">
        <v>1669</v>
      </c>
      <c r="AZ42" s="1047" t="s">
        <v>493</v>
      </c>
      <c r="BE42" s="1047">
        <v>2040</v>
      </c>
      <c r="BH42" s="998" t="s">
        <v>1090</v>
      </c>
      <c r="BJ42" s="1144" t="s">
        <v>1070</v>
      </c>
      <c r="BL42" s="1144" t="s">
        <v>1070</v>
      </c>
      <c r="BN42" s="998" t="s">
        <v>1670</v>
      </c>
    </row>
    <row r="43" spans="1:66" ht="11.25" customHeight="1">
      <c r="A43" s="1004" t="s">
        <v>1671</v>
      </c>
      <c r="AX43" s="1047" t="s">
        <v>1672</v>
      </c>
      <c r="AZ43" s="1047" t="s">
        <v>1287</v>
      </c>
      <c r="BE43" s="1047">
        <v>2041</v>
      </c>
      <c r="BH43" s="998" t="s">
        <v>1673</v>
      </c>
      <c r="BJ43" s="1144" t="s">
        <v>1667</v>
      </c>
      <c r="BL43" s="1144" t="s">
        <v>1667</v>
      </c>
      <c r="BN43" s="998" t="s">
        <v>1674</v>
      </c>
    </row>
    <row r="44" spans="1:66" ht="11.25" customHeight="1">
      <c r="A44" s="1004" t="s">
        <v>1675</v>
      </c>
      <c r="G44" s="1023">
        <f ca="1">YEAR(TODAY())</f>
        <v>2025</v>
      </c>
      <c r="I44" s="730" t="s">
        <v>1676</v>
      </c>
      <c r="J44" s="1019" t="s">
        <v>1677</v>
      </c>
      <c r="K44" s="1019" t="s">
        <v>1678</v>
      </c>
      <c r="AX44" s="1047" t="s">
        <v>1679</v>
      </c>
      <c r="AZ44" s="1047" t="s">
        <v>1321</v>
      </c>
      <c r="BE44" s="1047">
        <v>2042</v>
      </c>
      <c r="BH44" s="998" t="s">
        <v>1680</v>
      </c>
      <c r="BJ44" s="1144" t="s">
        <v>1090</v>
      </c>
      <c r="BL44" s="1144" t="s">
        <v>1090</v>
      </c>
      <c r="BN44" s="998" t="s">
        <v>1681</v>
      </c>
    </row>
    <row r="45" spans="1:66" ht="11.25" customHeight="1">
      <c r="A45" s="1004" t="s">
        <v>1682</v>
      </c>
      <c r="D45" s="1039" t="s">
        <v>1683</v>
      </c>
      <c r="E45" s="1040" t="s">
        <v>1684</v>
      </c>
      <c r="F45" s="728" t="s">
        <v>1685</v>
      </c>
      <c r="G45" s="727" t="s">
        <v>1686</v>
      </c>
      <c r="H45" s="730" t="s">
        <v>1687</v>
      </c>
      <c r="I45" s="1667" t="b">
        <f>INDEX(PeriodIsEmptyList,MATCH(TEMPLATE_GROUP,CodeTemplateList,0),1)</f>
        <v>0</v>
      </c>
      <c r="J45" s="1670" t="str">
        <f>INDEX(NameTemplatesInTitleList,MATCH(TEMPLATE_GROUP,CodeTemplateList,0),1)</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45" s="1670" t="str">
        <f>"Перечень муниципальных районов и муниципальных образований (территорий "&amp;IF(OR(TEMPLATE_GROUP="P",TEMPLATE_GROUP="R",TEMPLATE_GROUP="Q"),"действия тарифа","оказания услуг")&amp;")"</f>
        <v>Перечень муниципальных районов и муниципальных образований (территорий действия тарифа)</v>
      </c>
      <c r="AX45" s="1047" t="s">
        <v>1688</v>
      </c>
      <c r="AZ45" s="1047" t="s">
        <v>1354</v>
      </c>
      <c r="BE45" s="1047">
        <v>2043</v>
      </c>
      <c r="BH45" s="998" t="s">
        <v>1689</v>
      </c>
      <c r="BJ45" s="1144" t="s">
        <v>1084</v>
      </c>
      <c r="BL45" s="1144" t="s">
        <v>1084</v>
      </c>
      <c r="BN45" s="998" t="s">
        <v>1690</v>
      </c>
    </row>
    <row r="46" spans="1:66" ht="11.25" customHeight="1">
      <c r="A46" s="1004" t="s">
        <v>1691</v>
      </c>
      <c r="E46" s="344" t="s">
        <v>28</v>
      </c>
      <c r="F46" s="1042" t="s">
        <v>1692</v>
      </c>
      <c r="G46" s="1044" t="str">
        <f ca="1">IFERROR(IF(TITLE_DATE_FIL="","01.01."&amp;CURRENT_YEAR,"01.01."&amp;YEAR(TITLE_DATE_FIL)),"01.01."&amp;CURRENT_YEAR)</f>
        <v>01.01.2025</v>
      </c>
      <c r="H46" s="1044" t="str">
        <f ca="1">IFERROR(IF(TITLE_DATE_FIL="","31.12."&amp;CURRENT_YEAR,"31.12."&amp;YEAR(TITLE_DATE_FIL)),"31.12."&amp;CURRENT_YEAR)</f>
        <v>31.12.2025</v>
      </c>
      <c r="I46" s="1668" t="b">
        <f>IF(TITLE_DATE_FIL="",TRUE,FALSE)</f>
        <v>1</v>
      </c>
      <c r="J46" s="1671" t="str">
        <f>"Общая информация о регулируемой организации ("&amp;TEMPLATE_SPHERE_RUS&amp;")"</f>
        <v>Общая информация о регулируемой организации (теплоснабжения)</v>
      </c>
      <c r="K46" s="1672"/>
      <c r="AX46" s="1047" t="s">
        <v>1693</v>
      </c>
      <c r="AZ46" s="1047" t="s">
        <v>1378</v>
      </c>
      <c r="BE46" s="1047">
        <v>2044</v>
      </c>
      <c r="BH46" s="998" t="s">
        <v>1093</v>
      </c>
      <c r="BJ46" s="1144" t="s">
        <v>1074</v>
      </c>
      <c r="BL46" s="1144" t="s">
        <v>1074</v>
      </c>
      <c r="BN46" s="998" t="s">
        <v>1694</v>
      </c>
    </row>
    <row r="47" spans="1:66" ht="11.25" customHeight="1">
      <c r="A47" s="1004" t="s">
        <v>1695</v>
      </c>
      <c r="E47" s="344" t="s">
        <v>35</v>
      </c>
      <c r="F47" s="1043" t="s">
        <v>1696</v>
      </c>
      <c r="G47" s="1044" t="str">
        <f ca="1">IFERROR(IF(f_year="","01.01."&amp;CURRENT_YEAR,IF(LEN(f_quart)=0,"01.01."&amp;f_year,IF(f_quart="I квартал","01.01."&amp;f_year,IF(f_quart="II квартал","01.04."&amp;f_year,(IF(f_quart="III квартал","01.07."&amp;f_year,"01.10."&amp;f_year)))))),"01.01."&amp;CURRENT_YEAR)</f>
        <v>01.01.2025</v>
      </c>
      <c r="H47" s="1044" t="str">
        <f ca="1">IFERROR(IF(f_year="","31.12."&amp;CURRENT_YEAR,IF(LEN(f_quart)=0,"31.12."&amp;f_year,IF(f_quart="I квартал","31.03."&amp;f_year,IF(f_quart="II квартал","30.06."&amp;f_year,(IF(f_quart="III квартал","30.09."&amp;f_year,"31.12."&amp;f_year)))))),"31.12."&amp;CURRENT_YEAR)</f>
        <v>31.12.2025</v>
      </c>
      <c r="I47" s="1669" t="b">
        <f>IF(OR(f_year="",f_quart=""),TRUE,FALSE)</f>
        <v>1</v>
      </c>
      <c r="J47" s="1671" t="str">
        <f>"Информация о наличии (отсутствии) технической возможности подключения к централизованной системе "&amp;TEMPLATE_SPHERE_RUS&amp;", а также о регистрации и ходе реализации заявок о подключении к централизованной системе "&amp;TEMPLATE_SPHERE_RUS</f>
        <v>Информация о наличии (отсутствии) технической возможности подключения к централизованной системе теплоснабжения, а также о регистрации и ходе реализации заявок о подключении к централизованной системе теплоснабжения</v>
      </c>
      <c r="K47" s="1672"/>
      <c r="AX47" s="1047" t="s">
        <v>1697</v>
      </c>
      <c r="AZ47" s="1047" t="s">
        <v>1397</v>
      </c>
      <c r="BE47" s="1047">
        <v>2045</v>
      </c>
      <c r="BH47" s="998" t="s">
        <v>1670</v>
      </c>
      <c r="BJ47" s="1144" t="s">
        <v>1076</v>
      </c>
      <c r="BL47" s="1144" t="s">
        <v>1076</v>
      </c>
      <c r="BN47" s="998" t="s">
        <v>1698</v>
      </c>
    </row>
    <row r="48" spans="1:66" ht="11.25" customHeight="1">
      <c r="A48" s="1004" t="s">
        <v>1699</v>
      </c>
      <c r="E48" s="344" t="s">
        <v>1700</v>
      </c>
      <c r="F48" s="1043" t="s">
        <v>1701</v>
      </c>
      <c r="G48" s="1044" t="str">
        <f ca="1">IFERROR(IF(f_year="","01.01."&amp;CURRENT_YEAR,"01.01."&amp;f_year),"01.01."&amp;CURRENT_YEAR)</f>
        <v>01.01.2025</v>
      </c>
      <c r="H48" s="1044" t="str">
        <f ca="1">IFERROR(IF(f_year="","31.12."&amp;CURRENT_YEAR,"31.12."&amp;f_year),"31.12."&amp;CURRENT_YEAR)</f>
        <v>31.12.2025</v>
      </c>
      <c r="I48" s="1668" t="b">
        <f>IF(f_year="",TRUE,FALSE)</f>
        <v>1</v>
      </c>
      <c r="J48" s="1671" t="s">
        <v>1702</v>
      </c>
      <c r="K48" s="1672"/>
      <c r="AX48" s="1047" t="s">
        <v>1703</v>
      </c>
      <c r="AZ48" s="1047" t="s">
        <v>1414</v>
      </c>
      <c r="BE48" s="1047">
        <v>2046</v>
      </c>
      <c r="BH48" s="998" t="s">
        <v>1674</v>
      </c>
      <c r="BJ48" s="1144" t="s">
        <v>1078</v>
      </c>
      <c r="BL48" s="1144" t="s">
        <v>1078</v>
      </c>
      <c r="BN48" s="998" t="s">
        <v>1704</v>
      </c>
    </row>
    <row r="49" spans="1:64" ht="11.25" customHeight="1">
      <c r="A49" s="1004" t="s">
        <v>1705</v>
      </c>
      <c r="E49" s="344" t="s">
        <v>1706</v>
      </c>
      <c r="F49" s="1043" t="s">
        <v>1707</v>
      </c>
      <c r="G49" s="1044" t="str">
        <f ca="1">IFERROR(IF(f_year="","01.01."&amp;CURRENT_YEAR,"01.01."&amp;f_year),"01.01."&amp;CURRENT_YEAR)</f>
        <v>01.01.2025</v>
      </c>
      <c r="H49" s="1044" t="str">
        <f ca="1">IFERROR(IF(f_year="","31.12."&amp;CURRENT_YEAR,"31.12."&amp;f_year),"31.12."&amp;CURRENT_YEAR)</f>
        <v>31.12.2025</v>
      </c>
      <c r="I49" s="1668" t="b">
        <f>IF(f_year="",TRUE,FALSE)</f>
        <v>1</v>
      </c>
      <c r="J49" s="1671" t="str">
        <f>"Информация об условиях, на которых осуществляется поставка товаров (оказание услуг) в сфере "&amp;TEMPLATE_SPHERE_RUS</f>
        <v>Информация об условиях, на которых осуществляется поставка товаров (оказание услуг) в сфере теплоснабжения</v>
      </c>
      <c r="K49" s="1672"/>
      <c r="AX49" s="1047" t="s">
        <v>1708</v>
      </c>
      <c r="AZ49" s="1047" t="s">
        <v>1430</v>
      </c>
      <c r="BE49" s="1047">
        <v>2047</v>
      </c>
      <c r="BH49" s="998" t="s">
        <v>1094</v>
      </c>
      <c r="BJ49" s="1144" t="s">
        <v>1080</v>
      </c>
      <c r="BL49" s="1144" t="s">
        <v>1080</v>
      </c>
    </row>
    <row r="50" spans="1:64" ht="11.25" customHeight="1">
      <c r="A50" s="1004" t="s">
        <v>1709</v>
      </c>
      <c r="E50" s="344" t="s">
        <v>1710</v>
      </c>
      <c r="F50" s="1043" t="s">
        <v>1064</v>
      </c>
      <c r="G50" s="1044" t="str">
        <f ca="1">IFERROR(IF(f_year="","01.01."&amp;CURRENT_YEAR,"01.01."&amp;f_year),"01.01."&amp;CURRENT_YEAR)</f>
        <v>01.01.2025</v>
      </c>
      <c r="H50" s="1044" t="str">
        <f ca="1">IFERROR(IF(f_year="","31.12."&amp;CURRENT_YEAR,"31.12."&amp;f_year),"31.12."&amp;CURRENT_YEAR)</f>
        <v>31.12.2025</v>
      </c>
      <c r="I50" s="1668" t="b">
        <f>IF(f_year="",TRUE,FALSE)</f>
        <v>1</v>
      </c>
      <c r="J50" s="1671" t="str">
        <f>"Информация об инвестиционных программах регулируемой организации в области "&amp;TEMPLATE_SPHERE_RUS</f>
        <v>Информация об инвестиционных программах регулируемой организации в области теплоснабжения</v>
      </c>
      <c r="K50" s="1672"/>
      <c r="AX50" s="1047" t="s">
        <v>1711</v>
      </c>
      <c r="AZ50" s="1047" t="s">
        <v>1446</v>
      </c>
      <c r="BE50" s="1047">
        <v>2048</v>
      </c>
      <c r="BH50" s="998" t="s">
        <v>1681</v>
      </c>
      <c r="BJ50" s="1144" t="s">
        <v>1082</v>
      </c>
      <c r="BL50" s="1144" t="s">
        <v>1082</v>
      </c>
    </row>
    <row r="51" spans="1:64" ht="11.25" customHeight="1">
      <c r="A51" s="1004" t="s">
        <v>1712</v>
      </c>
      <c r="E51" s="344" t="s">
        <v>1713</v>
      </c>
      <c r="F51" s="1043" t="s">
        <v>1684</v>
      </c>
      <c r="G51" s="1044" t="str">
        <f>IFERROR(IF(TITLE_PERIOD_START="","01.01."&amp;CURRENT_YEAR,"01.01."&amp;YEAR(TITLE_PERIOD_START)),"01.01."&amp;CURRENT_YEAR)</f>
        <v>01.01.2025</v>
      </c>
      <c r="H51" s="1044" t="str">
        <f>IFERROR(IF(TITLE_PERIOD_END="","31.12."&amp;CURRENT_YEAR,"31.12."&amp;YEAR(TITLE_PERIOD_END)),"31.12."&amp;CURRENT_YEAR)</f>
        <v>31.12.2025</v>
      </c>
      <c r="I51" s="1669" t="b">
        <f>IF(OR(TITLE_PERIOD_START="",TITLE_PERIOD_END=""),TRUE,FALSE)</f>
        <v>0</v>
      </c>
      <c r="J51" s="1671" t="str">
        <f>"Предложение регулируемой организации об установлении тарифов в сфере "&amp;TEMPLATE_SPHERE_RUS&amp;", информация о способах приобретения, стоимости и объемах товаров, необходимых для производства регулируемых товаров и (или) оказания регулируемых услуг"</f>
        <v>Предложение регулируемой организации об установлении тарифов в сфере теплоснабжения, информация о способах приобретения, стоимости и объемах товаров, необходимых для производства регулируемых товаров и (или) оказания регулируемых услуг</v>
      </c>
      <c r="K51" s="1672"/>
      <c r="AX51" s="1047" t="s">
        <v>1714</v>
      </c>
      <c r="AZ51" s="1047" t="s">
        <v>1462</v>
      </c>
      <c r="BE51" s="1047">
        <v>2049</v>
      </c>
      <c r="BH51" s="998" t="s">
        <v>1690</v>
      </c>
      <c r="BJ51" s="1144" t="s">
        <v>1715</v>
      </c>
      <c r="BL51" s="1144" t="s">
        <v>1715</v>
      </c>
    </row>
    <row r="52" spans="1:64" ht="11.25" customHeight="1">
      <c r="A52" s="1004" t="s">
        <v>1716</v>
      </c>
      <c r="E52" s="344" t="s">
        <v>1717</v>
      </c>
      <c r="F52" s="1043" t="s">
        <v>1718</v>
      </c>
      <c r="G52" s="1044" t="str">
        <f>IFERROR(IF(TITLE_PERIOD_START="","01.01."&amp;CURRENT_YEAR,"01.01."&amp;YEAR(TITLE_PERIOD_START)),"01.01."&amp;CURRENT_YEAR)</f>
        <v>01.01.2025</v>
      </c>
      <c r="H52" s="1044" t="str">
        <f>IFERROR(IF(TITLE_PERIOD_END="","31.12."&amp;CURRENT_YEAR,"31.12."&amp;YEAR(TITLE_PERIOD_END)),"31.12."&amp;CURRENT_YEAR)</f>
        <v>31.12.2025</v>
      </c>
      <c r="I52" s="1669" t="b">
        <f>IF(OR(TITLE_PERIOD_START="",TITLE_PERIOD_END=""),TRUE,FALSE)</f>
        <v>0</v>
      </c>
      <c r="J52" s="1671" t="str">
        <f>"Показатели, подлежащие раскрытию в сфере "&amp;TEMPLATE_SPHERE_RUS&amp;" (цены и тарифы)"</f>
        <v>Показатели, подлежащие раскрытию в сфере теплоснабжения (цены и тарифы)</v>
      </c>
      <c r="K52" s="1672"/>
      <c r="AX52" s="1047" t="s">
        <v>1719</v>
      </c>
      <c r="AZ52" s="1047" t="s">
        <v>491</v>
      </c>
      <c r="BE52" s="1047">
        <v>2050</v>
      </c>
      <c r="BH52" s="998" t="s">
        <v>1694</v>
      </c>
      <c r="BJ52" s="1144" t="s">
        <v>1093</v>
      </c>
      <c r="BL52" s="1144" t="s">
        <v>1093</v>
      </c>
    </row>
    <row r="53" spans="1:64" ht="11.25" customHeight="1">
      <c r="A53" s="1004" t="s">
        <v>1720</v>
      </c>
      <c r="E53" s="344" t="s">
        <v>1721</v>
      </c>
      <c r="F53" s="1043" t="s">
        <v>1721</v>
      </c>
      <c r="G53" s="1044" t="str">
        <f ca="1">IFERROR(IF(f_year="","01.01."&amp;CURRENT_YEAR,"01.01."&amp;f_year),"01.01."&amp;CURRENT_YEAR)</f>
        <v>01.01.2025</v>
      </c>
      <c r="H53" s="1044" t="str">
        <f ca="1">IFERROR(IF(f_year="","31.12."&amp;CURRENT_YEAR,"31.12."&amp;f_year),"31.12."&amp;CURRENT_YEAR)</f>
        <v>31.12.2025</v>
      </c>
      <c r="I53" s="1668" t="b">
        <f>IF(AND(f_year="",TITLE_DATE_FIL=""),TRUE,FALSE)</f>
        <v>1</v>
      </c>
      <c r="J53" s="1671" t="s">
        <v>1722</v>
      </c>
      <c r="K53" s="1672"/>
      <c r="AX53" s="1047" t="s">
        <v>1723</v>
      </c>
      <c r="BE53" s="1047">
        <v>2051</v>
      </c>
      <c r="BH53" s="998" t="s">
        <v>1698</v>
      </c>
      <c r="BJ53" s="1144" t="s">
        <v>1670</v>
      </c>
      <c r="BL53" s="1144" t="s">
        <v>1670</v>
      </c>
    </row>
    <row r="54" spans="1:64" ht="11.25" customHeight="1">
      <c r="A54" s="1004" t="s">
        <v>1724</v>
      </c>
      <c r="AX54" s="1047" t="s">
        <v>1725</v>
      </c>
      <c r="AZ54" s="997" t="s">
        <v>1726</v>
      </c>
      <c r="BE54" s="1047">
        <v>2052</v>
      </c>
      <c r="BH54" s="998" t="s">
        <v>1704</v>
      </c>
      <c r="BJ54" s="1144" t="s">
        <v>1674</v>
      </c>
      <c r="BL54" s="1144" t="s">
        <v>1674</v>
      </c>
    </row>
    <row r="55" spans="1:64" ht="11.25" customHeight="1">
      <c r="A55" s="1004" t="s">
        <v>1727</v>
      </c>
      <c r="AX55" s="1047" t="s">
        <v>1728</v>
      </c>
      <c r="AZ55" s="1047" t="s">
        <v>1265</v>
      </c>
      <c r="BE55" s="1047">
        <v>2053</v>
      </c>
      <c r="BH55" s="1000" t="s">
        <v>30</v>
      </c>
      <c r="BJ55" s="1144" t="s">
        <v>1094</v>
      </c>
      <c r="BL55" s="1144" t="s">
        <v>1094</v>
      </c>
    </row>
    <row r="56" spans="1:64" ht="11.25" customHeight="1">
      <c r="A56" s="1004" t="s">
        <v>1729</v>
      </c>
      <c r="D56" s="1046" t="s">
        <v>1730</v>
      </c>
      <c r="E56" s="1024" t="s">
        <v>116</v>
      </c>
      <c r="F56" s="1004" t="s">
        <v>1731</v>
      </c>
      <c r="AX56" s="1047" t="s">
        <v>1732</v>
      </c>
      <c r="AZ56" s="1047" t="s">
        <v>1289</v>
      </c>
      <c r="BE56" s="1047">
        <v>2054</v>
      </c>
      <c r="BH56" s="1000" t="s">
        <v>30</v>
      </c>
      <c r="BJ56" s="1144" t="s">
        <v>1681</v>
      </c>
      <c r="BL56" s="1144" t="s">
        <v>1681</v>
      </c>
    </row>
    <row r="57" spans="1:64" ht="11.25" customHeight="1">
      <c r="A57" s="1004" t="s">
        <v>1733</v>
      </c>
      <c r="D57" s="1046" t="s">
        <v>1734</v>
      </c>
      <c r="E57" s="1024" t="s">
        <v>116</v>
      </c>
      <c r="F57" s="1004" t="s">
        <v>1731</v>
      </c>
      <c r="AX57" s="1047" t="s">
        <v>1735</v>
      </c>
      <c r="AZ57" s="1047" t="s">
        <v>1324</v>
      </c>
      <c r="BE57" s="1047">
        <v>2055</v>
      </c>
      <c r="BJ57" s="1144" t="s">
        <v>1690</v>
      </c>
      <c r="BL57" s="1144" t="s">
        <v>1690</v>
      </c>
    </row>
    <row r="58" spans="1:64" ht="11.25" customHeight="1">
      <c r="A58" s="1004" t="s">
        <v>1736</v>
      </c>
      <c r="D58" s="1046" t="s">
        <v>1737</v>
      </c>
      <c r="E58" s="1024" t="s">
        <v>116</v>
      </c>
      <c r="F58" s="1004" t="s">
        <v>1731</v>
      </c>
      <c r="AX58" s="1047" t="s">
        <v>1738</v>
      </c>
      <c r="BE58" s="1047">
        <v>2056</v>
      </c>
      <c r="BJ58" s="1144" t="s">
        <v>1694</v>
      </c>
      <c r="BL58" s="1144" t="s">
        <v>1694</v>
      </c>
    </row>
    <row r="59" spans="1:64" ht="11.25" customHeight="1">
      <c r="A59" s="1004" t="s">
        <v>1739</v>
      </c>
      <c r="D59" s="1046" t="s">
        <v>136</v>
      </c>
      <c r="E59" s="1024" t="s">
        <v>1626</v>
      </c>
      <c r="F59" s="1004" t="s">
        <v>1740</v>
      </c>
      <c r="AX59" s="1047" t="s">
        <v>1741</v>
      </c>
      <c r="AZ59" s="997" t="s">
        <v>1742</v>
      </c>
      <c r="BE59" s="1047">
        <v>2057</v>
      </c>
      <c r="BJ59" s="1144" t="s">
        <v>1698</v>
      </c>
      <c r="BL59" s="1144" t="s">
        <v>1698</v>
      </c>
    </row>
    <row r="60" spans="1:64" ht="11.25" customHeight="1">
      <c r="A60" s="1004" t="s">
        <v>1743</v>
      </c>
      <c r="D60" s="1046" t="s">
        <v>1744</v>
      </c>
      <c r="E60" s="1024" t="s">
        <v>1626</v>
      </c>
      <c r="F60" s="1004" t="s">
        <v>1740</v>
      </c>
      <c r="AX60" s="1047" t="s">
        <v>1745</v>
      </c>
      <c r="AZ60" s="1047" t="s">
        <v>1266</v>
      </c>
      <c r="BE60" s="1047">
        <v>2058</v>
      </c>
      <c r="BJ60" s="1144" t="s">
        <v>1704</v>
      </c>
      <c r="BL60" s="1144" t="s">
        <v>1704</v>
      </c>
    </row>
    <row r="61" spans="1:64" ht="11.25" customHeight="1">
      <c r="A61" s="1004" t="s">
        <v>1746</v>
      </c>
      <c r="D61" s="1046" t="s">
        <v>1747</v>
      </c>
      <c r="E61" s="1024" t="s">
        <v>1748</v>
      </c>
      <c r="F61" s="1004" t="s">
        <v>1740</v>
      </c>
      <c r="AX61" s="1047" t="s">
        <v>1749</v>
      </c>
      <c r="AZ61" s="1047" t="s">
        <v>1290</v>
      </c>
      <c r="BE61" s="1047">
        <v>2059</v>
      </c>
      <c r="BL61" s="1144" t="s">
        <v>1086</v>
      </c>
    </row>
    <row r="62" spans="1:64" ht="11.25" customHeight="1">
      <c r="A62" s="1004" t="s">
        <v>1750</v>
      </c>
      <c r="D62" s="1046" t="s">
        <v>135</v>
      </c>
      <c r="E62" s="1024">
        <v>37</v>
      </c>
      <c r="F62" s="1004" t="s">
        <v>1740</v>
      </c>
      <c r="AZ62" s="1047" t="s">
        <v>1325</v>
      </c>
      <c r="BE62" s="1047">
        <v>2060</v>
      </c>
      <c r="BL62" s="1144" t="s">
        <v>1088</v>
      </c>
    </row>
    <row r="63" spans="1:64" ht="11.25" customHeight="1">
      <c r="A63" s="1004" t="s">
        <v>1751</v>
      </c>
      <c r="D63" s="1046" t="s">
        <v>1752</v>
      </c>
      <c r="E63" s="1024">
        <v>37</v>
      </c>
      <c r="F63" s="1004" t="s">
        <v>1740</v>
      </c>
      <c r="AZ63" s="1047" t="s">
        <v>1356</v>
      </c>
      <c r="BE63" s="1047">
        <v>2061</v>
      </c>
    </row>
    <row r="64" spans="1:64" ht="11.25" customHeight="1">
      <c r="A64" s="1004" t="s">
        <v>1753</v>
      </c>
      <c r="D64" s="1046" t="s">
        <v>1754</v>
      </c>
      <c r="E64" s="1024">
        <v>37</v>
      </c>
      <c r="F64" s="1004" t="s">
        <v>1740</v>
      </c>
      <c r="AZ64" s="1047" t="s">
        <v>1379</v>
      </c>
      <c r="BE64" s="1047">
        <v>2062</v>
      </c>
    </row>
    <row r="65" spans="1:66" ht="11.25" customHeight="1">
      <c r="A65" s="1004" t="s">
        <v>1755</v>
      </c>
      <c r="D65" s="1004"/>
      <c r="BE65" s="1047">
        <v>2063</v>
      </c>
    </row>
    <row r="66" spans="1:66" ht="11.25" customHeight="1">
      <c r="A66" s="1004" t="s">
        <v>1756</v>
      </c>
      <c r="AZ66" s="997" t="s">
        <v>1757</v>
      </c>
      <c r="BE66" s="1047">
        <v>2064</v>
      </c>
    </row>
    <row r="67" spans="1:66" ht="11.25" customHeight="1">
      <c r="A67" s="1004" t="s">
        <v>1758</v>
      </c>
      <c r="AZ67" s="1047" t="s">
        <v>1267</v>
      </c>
      <c r="BE67" s="1047">
        <v>2065</v>
      </c>
    </row>
    <row r="68" spans="1:66" ht="11.25" customHeight="1">
      <c r="A68" s="1004" t="s">
        <v>1759</v>
      </c>
      <c r="AZ68" s="1047" t="s">
        <v>1291</v>
      </c>
      <c r="BE68" s="1047">
        <v>2066</v>
      </c>
      <c r="BH68" s="997" t="s">
        <v>1760</v>
      </c>
      <c r="BJ68" s="997" t="s">
        <v>1761</v>
      </c>
      <c r="BL68" s="997" t="s">
        <v>1762</v>
      </c>
      <c r="BN68" s="997" t="s">
        <v>1763</v>
      </c>
    </row>
    <row r="69" spans="1:66" ht="11.25" customHeight="1">
      <c r="A69" s="1004" t="s">
        <v>1764</v>
      </c>
      <c r="AZ69" s="1047" t="s">
        <v>1326</v>
      </c>
      <c r="BE69" s="1047">
        <v>2067</v>
      </c>
      <c r="BH69" s="998" t="s">
        <v>1765</v>
      </c>
      <c r="BI69" s="1045" t="s">
        <v>114</v>
      </c>
      <c r="BJ69" s="998" t="s">
        <v>1766</v>
      </c>
      <c r="BK69" s="1045" t="s">
        <v>114</v>
      </c>
      <c r="BL69" s="998" t="s">
        <v>1767</v>
      </c>
      <c r="BM69" s="1000" t="s">
        <v>114</v>
      </c>
      <c r="BN69" s="998" t="s">
        <v>1768</v>
      </c>
    </row>
    <row r="70" spans="1:66" ht="11.25" customHeight="1">
      <c r="A70" s="1004" t="s">
        <v>1769</v>
      </c>
      <c r="AZ70" s="1047" t="s">
        <v>1357</v>
      </c>
      <c r="BE70" s="1047">
        <v>2068</v>
      </c>
      <c r="BH70" s="998" t="s">
        <v>1770</v>
      </c>
      <c r="BJ70" s="998" t="s">
        <v>1771</v>
      </c>
      <c r="BL70" s="998" t="s">
        <v>1772</v>
      </c>
      <c r="BN70" s="998" t="s">
        <v>1773</v>
      </c>
    </row>
    <row r="71" spans="1:66" ht="11.25" customHeight="1">
      <c r="A71" s="1004" t="s">
        <v>1774</v>
      </c>
      <c r="AZ71" s="1047" t="s">
        <v>1359</v>
      </c>
      <c r="BE71" s="1047">
        <v>2069</v>
      </c>
      <c r="BH71" s="998" t="s">
        <v>1775</v>
      </c>
      <c r="BI71" s="1045" t="s">
        <v>95</v>
      </c>
      <c r="BJ71" s="998" t="s">
        <v>1776</v>
      </c>
      <c r="BK71" s="1045" t="s">
        <v>95</v>
      </c>
      <c r="BL71" s="998" t="s">
        <v>1777</v>
      </c>
      <c r="BM71" s="1000" t="s">
        <v>95</v>
      </c>
      <c r="BN71" s="998" t="s">
        <v>1778</v>
      </c>
    </row>
    <row r="72" spans="1:66" ht="11.25" customHeight="1">
      <c r="A72" s="1004" t="s">
        <v>1779</v>
      </c>
      <c r="AZ72" s="1047" t="s">
        <v>19</v>
      </c>
      <c r="BE72" s="1047">
        <v>2070</v>
      </c>
      <c r="BH72" s="998" t="s">
        <v>1780</v>
      </c>
      <c r="BJ72" s="998" t="s">
        <v>1780</v>
      </c>
      <c r="BL72" s="998" t="s">
        <v>1780</v>
      </c>
      <c r="BN72" s="998" t="s">
        <v>1781</v>
      </c>
    </row>
    <row r="73" spans="1:66" ht="11.25" customHeight="1">
      <c r="A73" s="1004" t="s">
        <v>1782</v>
      </c>
      <c r="BH73" s="998" t="s">
        <v>1783</v>
      </c>
      <c r="BI73" s="1045" t="s">
        <v>116</v>
      </c>
      <c r="BJ73" s="998" t="s">
        <v>1784</v>
      </c>
      <c r="BK73" s="1045" t="s">
        <v>116</v>
      </c>
      <c r="BL73" s="998" t="s">
        <v>1785</v>
      </c>
      <c r="BM73" s="1000" t="s">
        <v>116</v>
      </c>
      <c r="BN73" s="998" t="s">
        <v>1786</v>
      </c>
    </row>
    <row r="74" spans="1:66" ht="11.25" customHeight="1">
      <c r="A74" s="1004" t="s">
        <v>1787</v>
      </c>
      <c r="BH74" s="998" t="s">
        <v>1788</v>
      </c>
      <c r="BJ74" s="998" t="s">
        <v>1789</v>
      </c>
      <c r="BL74" s="998" t="s">
        <v>1790</v>
      </c>
      <c r="BN74" s="998" t="s">
        <v>1791</v>
      </c>
    </row>
    <row r="75" spans="1:66" ht="11.25" customHeight="1">
      <c r="A75" s="1004" t="s">
        <v>1792</v>
      </c>
      <c r="AZ75" s="997" t="s">
        <v>1793</v>
      </c>
      <c r="BH75" s="998" t="s">
        <v>1794</v>
      </c>
      <c r="BJ75" s="998" t="s">
        <v>1794</v>
      </c>
      <c r="BL75" s="998" t="s">
        <v>1794</v>
      </c>
    </row>
    <row r="76" spans="1:66" ht="11.25" customHeight="1">
      <c r="A76" s="1004" t="s">
        <v>1795</v>
      </c>
      <c r="AZ76" s="1047" t="s">
        <v>1276</v>
      </c>
      <c r="BH76" s="998" t="s">
        <v>1796</v>
      </c>
      <c r="BJ76" s="998" t="s">
        <v>1797</v>
      </c>
      <c r="BL76" s="998" t="s">
        <v>1798</v>
      </c>
    </row>
    <row r="77" spans="1:66" ht="11.25" customHeight="1">
      <c r="A77" s="1004" t="s">
        <v>1799</v>
      </c>
      <c r="AZ77" s="1047" t="s">
        <v>1301</v>
      </c>
    </row>
    <row r="78" spans="1:66" ht="11.25" customHeight="1">
      <c r="A78" s="1004" t="s">
        <v>1800</v>
      </c>
      <c r="AZ78" s="1047" t="s">
        <v>1333</v>
      </c>
    </row>
    <row r="79" spans="1:66" ht="11.25" customHeight="1">
      <c r="A79" s="1004" t="s">
        <v>1801</v>
      </c>
      <c r="AZ79" s="1047" t="s">
        <v>1363</v>
      </c>
      <c r="BH79" s="997" t="s">
        <v>1802</v>
      </c>
      <c r="BJ79" s="997" t="s">
        <v>1803</v>
      </c>
      <c r="BL79" s="997" t="s">
        <v>1804</v>
      </c>
    </row>
    <row r="80" spans="1:66" ht="11.25" customHeight="1">
      <c r="A80" s="1004" t="s">
        <v>16</v>
      </c>
      <c r="AZ80" s="1047" t="s">
        <v>1384</v>
      </c>
      <c r="BH80" s="998" t="s">
        <v>1805</v>
      </c>
      <c r="BJ80" s="998" t="s">
        <v>1806</v>
      </c>
      <c r="BL80" s="998" t="s">
        <v>1807</v>
      </c>
    </row>
    <row r="81" spans="1:66" ht="11.25" customHeight="1">
      <c r="A81" s="1004" t="s">
        <v>1808</v>
      </c>
      <c r="AZ81" s="1047" t="s">
        <v>1401</v>
      </c>
      <c r="BH81" s="998" t="s">
        <v>1809</v>
      </c>
      <c r="BJ81" s="998" t="s">
        <v>1810</v>
      </c>
      <c r="BL81" s="998" t="s">
        <v>1811</v>
      </c>
    </row>
    <row r="82" spans="1:66" ht="11.25" customHeight="1">
      <c r="A82" s="1004" t="s">
        <v>1812</v>
      </c>
      <c r="AZ82" s="1047" t="s">
        <v>1416</v>
      </c>
      <c r="BH82" s="998" t="s">
        <v>1813</v>
      </c>
      <c r="BJ82" s="998" t="s">
        <v>1814</v>
      </c>
      <c r="BL82" s="998" t="s">
        <v>1815</v>
      </c>
    </row>
    <row r="83" spans="1:66" ht="11.25" customHeight="1">
      <c r="A83" s="1004" t="s">
        <v>1816</v>
      </c>
      <c r="BH83" s="998" t="s">
        <v>1817</v>
      </c>
      <c r="BJ83" s="998" t="s">
        <v>1818</v>
      </c>
      <c r="BL83" s="998" t="s">
        <v>1819</v>
      </c>
    </row>
    <row r="84" spans="1:66" ht="11.25" customHeight="1">
      <c r="A84" s="1004" t="s">
        <v>1820</v>
      </c>
      <c r="AZ84" s="997" t="s">
        <v>1821</v>
      </c>
    </row>
    <row r="85" spans="1:66" ht="11.25" customHeight="1">
      <c r="A85" s="1795" t="s">
        <v>1822</v>
      </c>
      <c r="AZ85" s="1047" t="s">
        <v>1823</v>
      </c>
    </row>
    <row r="86" spans="1:66" ht="11.25" customHeight="1">
      <c r="A86" s="1004" t="s">
        <v>1824</v>
      </c>
      <c r="AZ86" s="1047" t="s">
        <v>1825</v>
      </c>
      <c r="BH86" s="997" t="s">
        <v>1826</v>
      </c>
      <c r="BJ86" s="997" t="s">
        <v>1827</v>
      </c>
      <c r="BL86" s="997" t="s">
        <v>1828</v>
      </c>
    </row>
    <row r="87" spans="1:66" ht="11.25" customHeight="1">
      <c r="A87" s="1004" t="s">
        <v>1829</v>
      </c>
      <c r="AZ87" s="1047" t="s">
        <v>1830</v>
      </c>
      <c r="BH87" s="998" t="s">
        <v>1831</v>
      </c>
      <c r="BJ87" s="998" t="s">
        <v>1832</v>
      </c>
      <c r="BL87" s="998" t="s">
        <v>1833</v>
      </c>
    </row>
    <row r="88" spans="1:66" ht="11.25" customHeight="1">
      <c r="A88" s="1004" t="s">
        <v>1834</v>
      </c>
      <c r="AZ88" s="1533"/>
      <c r="BH88" s="998" t="s">
        <v>1835</v>
      </c>
      <c r="BJ88" s="998" t="s">
        <v>1836</v>
      </c>
      <c r="BL88" s="998" t="s">
        <v>1837</v>
      </c>
    </row>
    <row r="89" spans="1:66" ht="11.25" customHeight="1">
      <c r="A89" s="1004" t="s">
        <v>1838</v>
      </c>
      <c r="AZ89" s="997" t="s">
        <v>1839</v>
      </c>
    </row>
    <row r="90" spans="1:66" ht="11.25" customHeight="1">
      <c r="A90" s="1004" t="s">
        <v>1840</v>
      </c>
      <c r="AZ90" s="1047" t="s">
        <v>1064</v>
      </c>
    </row>
    <row r="91" spans="1:66" ht="11.25" customHeight="1">
      <c r="A91" s="1004" t="s">
        <v>1841</v>
      </c>
      <c r="AZ91" s="1047" t="s">
        <v>1100</v>
      </c>
      <c r="BH91" s="997" t="s">
        <v>1842</v>
      </c>
      <c r="BJ91" s="997" t="s">
        <v>1843</v>
      </c>
      <c r="BL91" s="997" t="s">
        <v>1844</v>
      </c>
    </row>
    <row r="92" spans="1:66" ht="11.25" customHeight="1">
      <c r="AZ92" s="1047" t="s">
        <v>1845</v>
      </c>
      <c r="BH92" s="998" t="s">
        <v>1846</v>
      </c>
      <c r="BJ92" s="998" t="s">
        <v>1847</v>
      </c>
      <c r="BL92" s="998" t="s">
        <v>1848</v>
      </c>
    </row>
    <row r="93" spans="1:66" ht="11.25" customHeight="1">
      <c r="AZ93" s="1047" t="s">
        <v>1849</v>
      </c>
      <c r="BH93" s="998" t="s">
        <v>1850</v>
      </c>
      <c r="BJ93" s="998" t="s">
        <v>1851</v>
      </c>
      <c r="BL93" s="998" t="s">
        <v>1852</v>
      </c>
    </row>
    <row r="94" spans="1:66" ht="11.25" customHeight="1">
      <c r="AZ94" s="1047" t="s">
        <v>1853</v>
      </c>
    </row>
    <row r="96" spans="1:66" ht="11.25" customHeight="1">
      <c r="AZ96" s="997" t="s">
        <v>1854</v>
      </c>
      <c r="BH96" s="997" t="s">
        <v>1855</v>
      </c>
      <c r="BJ96" s="997" t="s">
        <v>1856</v>
      </c>
      <c r="BL96" s="997" t="s">
        <v>1857</v>
      </c>
      <c r="BN96" s="997" t="s">
        <v>1858</v>
      </c>
    </row>
    <row r="97" spans="52:66" ht="11.25" customHeight="1">
      <c r="AZ97" s="1826" t="s">
        <v>1859</v>
      </c>
      <c r="BA97" s="1827" t="s">
        <v>1860</v>
      </c>
      <c r="BH97" s="998" t="s">
        <v>1861</v>
      </c>
      <c r="BJ97" s="998" t="s">
        <v>1862</v>
      </c>
      <c r="BL97" s="998" t="s">
        <v>1863</v>
      </c>
      <c r="BN97" s="998" t="s">
        <v>1864</v>
      </c>
    </row>
    <row r="98" spans="52:66" ht="11.25" customHeight="1">
      <c r="AZ98" s="1826" t="s">
        <v>1865</v>
      </c>
      <c r="BA98" s="1827" t="s">
        <v>1866</v>
      </c>
      <c r="BH98" s="998" t="s">
        <v>1867</v>
      </c>
      <c r="BJ98" s="998" t="s">
        <v>1868</v>
      </c>
      <c r="BL98" s="998" t="s">
        <v>1869</v>
      </c>
      <c r="BN98" s="998" t="s">
        <v>1870</v>
      </c>
    </row>
    <row r="99" spans="52:66" ht="22.5" customHeight="1">
      <c r="AZ99" s="1826" t="s">
        <v>1871</v>
      </c>
      <c r="BA99" s="1827" t="str">
        <f>"не позднее чем за "&amp;IF(TEMPLATE_SPHERE="TKO","3","10")&amp;" дней до дня проведения заседания правления"</f>
        <v>не позднее чем за 10 дней до дня проведения заседания правления</v>
      </c>
      <c r="BH99" s="998" t="s">
        <v>1872</v>
      </c>
      <c r="BJ99" s="998" t="s">
        <v>1873</v>
      </c>
      <c r="BL99" s="998" t="s">
        <v>1874</v>
      </c>
      <c r="BN99" s="998" t="s">
        <v>1875</v>
      </c>
    </row>
    <row r="100" spans="52:66" ht="22.5" customHeight="1">
      <c r="AZ100" s="1826" t="s">
        <v>1876</v>
      </c>
      <c r="BA100"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J100" s="998" t="s">
        <v>1462</v>
      </c>
      <c r="BL100" s="998" t="s">
        <v>1462</v>
      </c>
      <c r="BN100" s="998" t="s">
        <v>1877</v>
      </c>
    </row>
    <row r="101" spans="52:66" ht="22.5" customHeight="1">
      <c r="AZ101" s="1826" t="s">
        <v>1878</v>
      </c>
      <c r="BA101" s="1827" t="s">
        <v>1879</v>
      </c>
      <c r="BN101" s="998" t="s">
        <v>1880</v>
      </c>
    </row>
    <row r="102" spans="52:66" ht="22.5" customHeight="1">
      <c r="AZ102" s="1826" t="s">
        <v>1881</v>
      </c>
      <c r="BA102"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N102" s="998" t="s">
        <v>1882</v>
      </c>
    </row>
    <row r="103" spans="52:66" ht="11.25" customHeight="1">
      <c r="AZ103" s="1826" t="s">
        <v>1883</v>
      </c>
      <c r="BA103" s="1827" t="s">
        <v>1884</v>
      </c>
      <c r="BN103" s="998" t="s">
        <v>1885</v>
      </c>
    </row>
    <row r="104" spans="52:66" ht="11.25" customHeight="1">
      <c r="BN104" s="998" t="s">
        <v>1886</v>
      </c>
    </row>
    <row r="105" spans="52:66" ht="11.25" customHeight="1">
      <c r="AZ105" s="1619" t="s">
        <v>1887</v>
      </c>
    </row>
    <row r="106" spans="52:66" ht="11.25" customHeight="1">
      <c r="AZ106" s="1047" t="s">
        <v>1888</v>
      </c>
    </row>
    <row r="107" spans="52:66" ht="11.25" customHeight="1">
      <c r="AZ107" s="1047" t="s">
        <v>1889</v>
      </c>
      <c r="BH107" s="997" t="s">
        <v>1890</v>
      </c>
      <c r="BJ107" s="997" t="s">
        <v>1891</v>
      </c>
      <c r="BL107" s="997" t="s">
        <v>1892</v>
      </c>
      <c r="BN107" s="997" t="s">
        <v>1893</v>
      </c>
    </row>
    <row r="108" spans="52:66" ht="11.25" customHeight="1">
      <c r="AZ108" s="1047" t="s">
        <v>617</v>
      </c>
      <c r="BH108" s="998" t="s">
        <v>1894</v>
      </c>
      <c r="BJ108" s="998" t="s">
        <v>1895</v>
      </c>
      <c r="BL108" s="998" t="s">
        <v>1548</v>
      </c>
      <c r="BN108" s="998" t="s">
        <v>1896</v>
      </c>
    </row>
    <row r="109" spans="52:66" ht="11.25" customHeight="1">
      <c r="BH109" s="998" t="s">
        <v>1897</v>
      </c>
    </row>
    <row r="110" spans="52:66" ht="11.25" customHeight="1">
      <c r="AZ110" s="1619" t="s">
        <v>1898</v>
      </c>
      <c r="BH110" s="998" t="s">
        <v>1897</v>
      </c>
    </row>
    <row r="111" spans="52:66" ht="11.25" customHeight="1">
      <c r="AZ111" s="1826" t="s">
        <v>1859</v>
      </c>
      <c r="BA111" s="1827" t="s">
        <v>1860</v>
      </c>
    </row>
    <row r="112" spans="52:66" ht="11.25" customHeight="1">
      <c r="AZ112" s="1826" t="s">
        <v>1865</v>
      </c>
      <c r="BA112" s="1827" t="s">
        <v>1866</v>
      </c>
    </row>
    <row r="113" spans="52:60" ht="22.5" customHeight="1">
      <c r="AZ113" s="1826" t="s">
        <v>1871</v>
      </c>
      <c r="BA113" s="1827" t="str">
        <f>"не позднее чем за "&amp;IF(TEMPLATE_SPHERE="TKO","3","10")&amp;" дней до дня проведения заседания правления"</f>
        <v>не позднее чем за 10 дней до дня проведения заседания правления</v>
      </c>
    </row>
    <row r="114" spans="52:60" ht="22.5" customHeight="1">
      <c r="AZ114" s="1826" t="s">
        <v>1876</v>
      </c>
      <c r="BA114"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4" s="997" t="s">
        <v>1899</v>
      </c>
    </row>
    <row r="115" spans="52:60" ht="22.5" customHeight="1">
      <c r="AZ115" s="1826" t="s">
        <v>1881</v>
      </c>
      <c r="BA115" s="1827" t="str">
        <f>"в течение "&amp;IF(TEMPLATE_SPHERE="HEAT","5","7")&amp;" рабочих дней со дня принятия соответствующего решения"</f>
        <v>в течение 5 рабочих дней со дня принятия соответствующего решения</v>
      </c>
      <c r="BH115" s="998" t="s">
        <v>491</v>
      </c>
    </row>
    <row r="116" spans="52:60" ht="11.25" customHeight="1">
      <c r="AZ116" s="1826" t="s">
        <v>1883</v>
      </c>
      <c r="BA116" s="1827" t="s">
        <v>1884</v>
      </c>
      <c r="BH116" s="998" t="s">
        <v>1288</v>
      </c>
    </row>
    <row r="117" spans="52:60" ht="11.25" customHeight="1">
      <c r="BH117" s="998" t="s">
        <v>1322</v>
      </c>
    </row>
    <row r="118" spans="52:60" ht="11.25" customHeight="1">
      <c r="BH118" s="998" t="s">
        <v>1355</v>
      </c>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legacyDrawing r:id="rId1"/>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25"/>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9.140625" defaultRowHeight="11.25" customHeight="1"/>
  <cols>
    <col min="1" max="2" width="15" style="438" hidden="1" customWidth="1"/>
    <col min="3" max="3" width="3" style="392" customWidth="1"/>
    <col min="4" max="4" width="6" style="393" customWidth="1"/>
    <col min="5" max="5" width="52" style="392" customWidth="1"/>
    <col min="6" max="6" width="48" style="392" customWidth="1"/>
    <col min="7" max="7" width="93" style="392" customWidth="1"/>
    <col min="8" max="8" width="8" style="392" customWidth="1"/>
    <col min="9" max="9" width="64" style="392" customWidth="1"/>
    <col min="10" max="10" width="9.140625" style="392" hidden="1"/>
  </cols>
  <sheetData>
    <row r="1" spans="1:10" ht="11.25" hidden="1" customHeight="1">
      <c r="A1" s="438" t="s">
        <v>344</v>
      </c>
      <c r="J1" s="392" t="s">
        <v>14</v>
      </c>
    </row>
    <row r="2" spans="1:10" ht="22.5" hidden="1" customHeight="1">
      <c r="A2" s="439"/>
      <c r="B2" s="439"/>
      <c r="C2" s="1656" t="s">
        <v>179</v>
      </c>
      <c r="D2" s="1447"/>
      <c r="E2" s="1453"/>
      <c r="F2" s="1476"/>
      <c r="H2" s="412"/>
      <c r="J2" s="392">
        <v>0</v>
      </c>
    </row>
    <row r="3" spans="1:10" ht="11.25" hidden="1" customHeight="1">
      <c r="J3" s="392">
        <v>0</v>
      </c>
    </row>
    <row r="4" spans="1:10" ht="11.25" customHeight="1">
      <c r="A4" s="1477"/>
      <c r="B4" s="1477"/>
      <c r="J4" s="392">
        <v>11</v>
      </c>
    </row>
    <row r="5" spans="1:10" ht="27" customHeight="1">
      <c r="D5" s="2751" t="str">
        <f>"Форма "&amp;IF(TEMPLATE_SPHERE="HEAT","2","1")&amp;". Информация об органе регулирования тарифов в сфере "&amp;IF(OR(TEMPLATE_SPHERE="HEAT",TEMPLATE_SPHERE="TKO"),TEMPLATE_SPHERE_RUS,"водоснабжения и водоотведения")&amp;" (далее – орган регулирования тарифов)"</f>
        <v>Форма 2. Информация об органе регулирования тарифов в сфере теплоснабжения (далее – орган регулирования тарифов)</v>
      </c>
      <c r="E5" s="2752"/>
      <c r="F5" s="2753"/>
      <c r="I5" s="652"/>
      <c r="J5" s="392">
        <v>26</v>
      </c>
    </row>
    <row r="6" spans="1:10" ht="18" customHeight="1">
      <c r="D6" s="2849" t="str">
        <f>IF(region_name=0,"Не определено",region_name)</f>
        <v>Тюменская область</v>
      </c>
      <c r="E6" s="2849"/>
      <c r="F6" s="2849"/>
      <c r="I6" s="652"/>
      <c r="J6" s="392">
        <v>17</v>
      </c>
    </row>
    <row r="7" spans="1:10" s="414" customFormat="1" ht="11.25" customHeight="1">
      <c r="A7" s="438"/>
      <c r="B7" s="438"/>
      <c r="D7" s="651"/>
      <c r="E7" s="651"/>
      <c r="F7" s="689"/>
      <c r="G7" s="651"/>
      <c r="J7" s="414">
        <v>11</v>
      </c>
    </row>
    <row r="8" spans="1:10" ht="11.25" hidden="1" customHeight="1">
      <c r="A8" s="439"/>
      <c r="B8" s="439"/>
      <c r="C8" s="394"/>
      <c r="D8" s="400"/>
      <c r="E8" s="2855"/>
      <c r="F8" s="2855"/>
      <c r="J8" s="392">
        <v>0</v>
      </c>
    </row>
    <row r="9" spans="1:10" ht="11.25" customHeight="1">
      <c r="A9" s="439"/>
      <c r="B9" s="439"/>
      <c r="C9" s="394"/>
      <c r="D9" s="2852" t="s">
        <v>345</v>
      </c>
      <c r="E9" s="2853"/>
      <c r="F9" s="2853"/>
      <c r="G9" s="2856" t="s">
        <v>346</v>
      </c>
      <c r="J9" s="392">
        <v>11</v>
      </c>
    </row>
    <row r="10" spans="1:10" ht="11.25" customHeight="1">
      <c r="A10" s="439"/>
      <c r="B10" s="439"/>
      <c r="C10" s="394"/>
      <c r="D10" s="1401" t="s">
        <v>93</v>
      </c>
      <c r="E10" s="1403" t="s">
        <v>347</v>
      </c>
      <c r="F10" s="1403" t="s">
        <v>348</v>
      </c>
      <c r="G10" s="2857"/>
      <c r="J10" s="392">
        <v>11</v>
      </c>
    </row>
    <row r="11" spans="1:10" ht="0.75" customHeight="1">
      <c r="A11" s="439"/>
      <c r="B11" s="439"/>
      <c r="C11" s="394"/>
      <c r="D11" s="401"/>
      <c r="E11" s="401"/>
      <c r="F11" s="401"/>
      <c r="G11" s="401"/>
      <c r="J11" s="392">
        <v>1</v>
      </c>
    </row>
    <row r="12" spans="1:10" ht="24" customHeight="1">
      <c r="A12" s="439"/>
      <c r="B12" s="439"/>
      <c r="C12" s="394"/>
      <c r="D12" s="1447">
        <v>1</v>
      </c>
      <c r="E12" s="411" t="str">
        <f>"Наименование "&amp;IF(TEMPLATE_SPHERE="TKO","регионального органа","органа "&amp;IF(TEMPLATE_SPHERE="HEAT","тарифного ",""))&amp;"регулирования "&amp;IF(TEMPLATE_SPHERE="TKO","(орган местного самоуправления)",IF(TEMPLATE_SPHERE="HEAT","","тарифов"))</f>
        <v xml:space="preserve">Наименование органа тарифного регулирования </v>
      </c>
      <c r="F12" s="1833" t="str">
        <f>IF(org="","",org)</f>
        <v>ТМУП "ТТС"</v>
      </c>
      <c r="G12" s="411" t="str">
        <f>"Указывается в соответствии с нормативным правовым актом, на основании которого "&amp;IF(TEMPLATE_SPHERE="TKO","региональный орган","орган "&amp;IF(TEMPLATE_SPHERE="HEAT","тарифного ",""))&amp;" регулирования "&amp;IF(TEMPLATE_SPHERE="TKO","(орган местного самоуправления)",IF(TEMPLATE_SPHERE="HEAT","","тарифов"))&amp;" образован."</f>
        <v>Указывается в соответствии с нормативным правовым актом, на основании которого орган тарифного  регулирования  образован.</v>
      </c>
      <c r="H12" s="1460"/>
      <c r="J12" s="392">
        <v>23</v>
      </c>
    </row>
    <row r="13" spans="1:10" ht="20.25" customHeight="1">
      <c r="A13" s="439"/>
      <c r="B13" s="439"/>
      <c r="C13" s="394"/>
      <c r="D13" s="1447">
        <v>2</v>
      </c>
      <c r="E13" s="1454" t="s">
        <v>1900</v>
      </c>
      <c r="F13" s="1448" t="s">
        <v>351</v>
      </c>
      <c r="G13" s="411"/>
      <c r="H13" s="1460"/>
      <c r="J13" s="392">
        <v>19</v>
      </c>
    </row>
    <row r="14" spans="1:10" ht="20.25" customHeight="1">
      <c r="A14" s="439"/>
      <c r="B14" s="439"/>
      <c r="C14" s="394"/>
      <c r="D14" s="1450" t="s">
        <v>754</v>
      </c>
      <c r="E14" s="1451" t="s">
        <v>1901</v>
      </c>
      <c r="F14" s="1453"/>
      <c r="G14" s="1452" t="s">
        <v>1902</v>
      </c>
      <c r="H14" s="1460"/>
      <c r="J14" s="392">
        <v>19</v>
      </c>
    </row>
    <row r="15" spans="1:10" ht="20.25" customHeight="1">
      <c r="A15" s="439"/>
      <c r="B15" s="439"/>
      <c r="C15" s="394"/>
      <c r="D15" s="1450" t="s">
        <v>352</v>
      </c>
      <c r="E15" s="1451" t="s">
        <v>1903</v>
      </c>
      <c r="F15" s="1453"/>
      <c r="G15" s="1452" t="s">
        <v>1904</v>
      </c>
      <c r="H15" s="1460"/>
      <c r="J15" s="392">
        <v>19</v>
      </c>
    </row>
    <row r="16" spans="1:10" ht="24" customHeight="1">
      <c r="A16" s="439"/>
      <c r="B16" s="439"/>
      <c r="C16" s="394"/>
      <c r="D16" s="1450" t="s">
        <v>355</v>
      </c>
      <c r="E16" s="1449" t="s">
        <v>1905</v>
      </c>
      <c r="F16" s="1458"/>
      <c r="G16" s="411" t="s">
        <v>1906</v>
      </c>
      <c r="H16" s="1460"/>
      <c r="J16" s="392">
        <v>23</v>
      </c>
    </row>
    <row r="17" spans="1:10" ht="48" customHeight="1">
      <c r="A17" s="439"/>
      <c r="B17" s="439"/>
      <c r="C17" s="394"/>
      <c r="D17" s="1447">
        <v>3</v>
      </c>
      <c r="E17" s="1454" t="s">
        <v>1907</v>
      </c>
      <c r="F17" s="1453"/>
      <c r="G17" s="411" t="s">
        <v>1908</v>
      </c>
      <c r="H17" s="1460"/>
      <c r="J17" s="392">
        <v>46</v>
      </c>
    </row>
    <row r="18" spans="1:10" ht="48" customHeight="1">
      <c r="A18" s="1402">
        <v>1</v>
      </c>
      <c r="B18" s="439"/>
      <c r="C18" s="1404"/>
      <c r="D18" s="1447" t="s">
        <v>96</v>
      </c>
      <c r="E18" s="1454" t="s">
        <v>1909</v>
      </c>
      <c r="F18" s="1453"/>
      <c r="G18" s="411" t="s">
        <v>1908</v>
      </c>
      <c r="H18" s="1460"/>
      <c r="I18" s="783"/>
      <c r="J18" s="392">
        <v>46</v>
      </c>
    </row>
    <row r="19" spans="1:10" ht="23.25" customHeight="1">
      <c r="A19" s="439"/>
      <c r="B19" s="439"/>
      <c r="C19" s="394"/>
      <c r="D19" s="1447" t="s">
        <v>116</v>
      </c>
      <c r="E19" s="1454" t="s">
        <v>1910</v>
      </c>
      <c r="F19" s="1448" t="s">
        <v>351</v>
      </c>
      <c r="G19" s="3063" t="s">
        <v>1911</v>
      </c>
      <c r="H19" s="412"/>
      <c r="J19" s="392">
        <v>22</v>
      </c>
    </row>
    <row r="20" spans="1:10" s="1457" customFormat="1" ht="5.25" hidden="1" customHeight="1">
      <c r="A20" s="439"/>
      <c r="B20" s="439"/>
      <c r="C20" s="1456"/>
      <c r="D20" s="1455" t="s">
        <v>1161</v>
      </c>
      <c r="E20" s="944"/>
      <c r="F20" s="943"/>
      <c r="G20" s="3064"/>
      <c r="J20" s="1457">
        <v>0</v>
      </c>
    </row>
    <row r="21" spans="1:10" ht="15.75" customHeight="1">
      <c r="A21" s="439"/>
      <c r="B21" s="439"/>
      <c r="C21" s="394"/>
      <c r="D21" s="404"/>
      <c r="E21" s="352" t="s">
        <v>384</v>
      </c>
      <c r="F21" s="406"/>
      <c r="G21" s="3065"/>
      <c r="H21" s="1460"/>
      <c r="J21" s="392">
        <v>15</v>
      </c>
    </row>
    <row r="22" spans="1:10" s="438" customFormat="1" ht="26.25" customHeight="1">
      <c r="A22" s="439"/>
      <c r="B22" s="439"/>
      <c r="C22" s="439"/>
      <c r="D22" s="1447" t="s">
        <v>97</v>
      </c>
      <c r="E22" s="411" t="s">
        <v>1912</v>
      </c>
      <c r="F22" s="1453"/>
      <c r="G22" s="411" t="s">
        <v>1913</v>
      </c>
      <c r="H22" s="1459"/>
      <c r="J22" s="438">
        <v>25</v>
      </c>
    </row>
    <row r="23" spans="1:10" s="438" customFormat="1" ht="20.25" customHeight="1">
      <c r="A23" s="439"/>
      <c r="B23" s="439"/>
      <c r="C23" s="439"/>
      <c r="D23" s="1447" t="s">
        <v>98</v>
      </c>
      <c r="E23" s="1454" t="s">
        <v>1914</v>
      </c>
      <c r="F23" s="1458"/>
      <c r="G23" s="411" t="s">
        <v>1915</v>
      </c>
      <c r="H23" s="1459"/>
      <c r="J23" s="438">
        <v>19</v>
      </c>
    </row>
    <row r="24" spans="1:10" s="438" customFormat="1" ht="144" hidden="1" customHeight="1">
      <c r="A24" s="439"/>
      <c r="B24" s="439"/>
      <c r="C24" s="439"/>
      <c r="D24" s="1447" t="s">
        <v>117</v>
      </c>
      <c r="E24" s="1822" t="str">
        <f>"Доклад,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"&amp;IF(TEMPLATE_SPHERE="HEAT","цен (тарифов)","тарифов")&amp;" в сфере "&amp;IF(OR(TEMPLATE_SPHERE="HEAT",TEMPLATE_SPHERE="TKO"),TEMPLATE_SPHERE_RUS,"водоснабжения и водоотведения")&amp;" в случае, если региональный государственный контроль (надзор) в области регулирования "&amp;IF(TEMPLATE_SPHERE="HEAT","цен (тарифов)","тарифов")&amp;" в сфере "&amp;IF(OR(TEMPLATE_SPHERE="HEAT",TEMPLATE_SPHERE="TKO"),TEMPLATE_SPHERE_RUS,"водоснабжения и водоотведения")&amp;" в соответствии с положением, утвержденным высшим исполнительным органом субъекта Российской Федерации, осуществляется "&amp;IF(TEMPLATE_SPHERE="TKO","региональным органом регулирования","исполнительным органом субъекта Российской Федерации в области государственного регулирования "&amp;IF(TEMPLATE_SPHERE="HEAT","цен (тарифов)","тарифов"))</f>
        <v>Доклад, содержащий результаты обобщения правоприменительной практики, в рамках регионального государственного контроля (надзора) в области регулирования цен (тарифов) в сфере теплоснабжения в случае, если региональный государственный контроль (надзор) в области регулирования цен (тарифов) в сфере теплоснабжения в соответствии с положением, утвержденным высшим исполнительным органом субъекта Российской Федерации, осуществляется исполнительным органом субъекта Российской Федерации в области государственного регулирования цен (тарифов)</v>
      </c>
      <c r="F24" s="1823"/>
      <c r="G24" s="1821" t="str">
        <f>IF(TEMPLATE_SPHERE="TKO","Раскрывается региональным органом регулирования. ",IF(TEMPLATE_SPHERE="HEAT","Раскрывается исполнительным органом субъекта Российской Федерации в области государственного регулирования цен (тарифов). ",""))&amp;"Указывается ссылка на документ, предварительно загруженный в хранилище файлов ФГИС ЕИАС."</f>
        <v>Раскрывается исполнительным органом субъекта Российской Федерации в области государственного регулирования цен (тарифов). Указывается ссылка на документ, предварительно загруженный в хранилище файлов ФГИС ЕИАС.</v>
      </c>
      <c r="H24" s="1459"/>
      <c r="J24" s="438">
        <v>0</v>
      </c>
    </row>
    <row r="25" spans="1:10" ht="11.25" hidden="1" customHeight="1">
      <c r="A25" s="438" t="s">
        <v>87</v>
      </c>
      <c r="B25" s="438">
        <v>0</v>
      </c>
      <c r="C25" s="392">
        <v>3</v>
      </c>
      <c r="D25" s="393">
        <v>6</v>
      </c>
      <c r="E25" s="392">
        <v>52</v>
      </c>
      <c r="F25" s="392">
        <v>48</v>
      </c>
      <c r="G25" s="392">
        <v>93</v>
      </c>
      <c r="H25" s="392">
        <v>8</v>
      </c>
      <c r="I25" s="392">
        <v>64</v>
      </c>
      <c r="J25" s="392">
        <v>11</v>
      </c>
    </row>
  </sheetData>
  <sheetProtection formatColumns="0" formatRows="0" insertRows="0" deleteColumns="0" deleteRows="0" sort="0" autoFilter="0"/>
  <mergeCells count="6">
    <mergeCell ref="G19:G21"/>
    <mergeCell ref="D5:F5"/>
    <mergeCell ref="D6:F6"/>
    <mergeCell ref="E8:F8"/>
    <mergeCell ref="D9:F9"/>
    <mergeCell ref="G9:G10"/>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F24">
      <formula1>900</formula1>
    </dataValidation>
    <dataValidation type="textLength" operator="lessThanOrEqual" allowBlank="1" showInputMessage="1" showErrorMessage="1" errorTitle="Ошибка" error="Допускается ввод не более 900 символов!" sqref="F12 F14:F18 F22:F2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U24"/>
  <sheetViews>
    <sheetView showGridLines="0" zoomScale="90" workbookViewId="0">
      <pane xSplit="5" ySplit="8" topLeftCell="F9" activePane="bottomRight" state="frozen"/>
      <selection pane="topRight" activeCell="F1" sqref="F1"/>
      <selection pane="bottomLeft" activeCell="A9" sqref="A9"/>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46" style="1562" customWidth="1"/>
    <col min="7" max="8" width="16" style="1562" customWidth="1"/>
    <col min="9" max="9" width="35" style="1562" customWidth="1"/>
    <col min="10" max="10" width="89" style="1562" customWidth="1"/>
    <col min="11" max="11" width="3" style="1551" customWidth="1"/>
    <col min="12" max="14" width="8" style="1551" customWidth="1"/>
    <col min="15" max="15" width="25" style="1551" customWidth="1"/>
    <col min="16" max="16" width="14" style="1551" customWidth="1"/>
    <col min="17" max="20" width="8" style="163" customWidth="1"/>
    <col min="21" max="254" width="8" style="1562" customWidth="1"/>
    <col min="255" max="255" width="9.140625" style="1562" hidden="1"/>
  </cols>
  <sheetData>
    <row r="1" spans="1:255" ht="22.5" hidden="1" customHeight="1">
      <c r="F1" s="1558" t="s">
        <v>1916</v>
      </c>
      <c r="G1" s="1558" t="s">
        <v>53</v>
      </c>
      <c r="H1" s="1558" t="s">
        <v>55</v>
      </c>
      <c r="IU1" s="1082" t="s">
        <v>14</v>
      </c>
    </row>
    <row r="2" spans="1:255" s="1775" customFormat="1" ht="22.5" hidden="1" customHeight="1">
      <c r="A2" s="762"/>
      <c r="B2" s="1087">
        <v>1</v>
      </c>
      <c r="C2" s="1087"/>
      <c r="D2" s="1850" t="s">
        <v>179</v>
      </c>
      <c r="E2" s="1411"/>
      <c r="F2" s="1418"/>
      <c r="G2" s="1418"/>
      <c r="H2" s="1418"/>
      <c r="I2" s="1906"/>
      <c r="J2" s="1907"/>
      <c r="K2" s="1462"/>
      <c r="L2" s="448"/>
      <c r="M2" s="448"/>
      <c r="N2" s="437" t="str">
        <f t="array" ref="N2">IF(ISERROR(MATCH(MID(O2,1,250),MID(note_ter,1,250),0)),"n","y")</f>
        <v>n</v>
      </c>
      <c r="O2" s="448"/>
      <c r="P2" s="437" t="str">
        <f>G2&amp;"("&amp;J2&amp;")"</f>
        <v>()</v>
      </c>
      <c r="Q2" s="1087"/>
      <c r="R2" s="1087"/>
      <c r="S2" s="357"/>
      <c r="T2" s="1087"/>
      <c r="U2" s="1087"/>
      <c r="V2" s="1087"/>
      <c r="W2" s="359"/>
      <c r="X2" s="359"/>
      <c r="Y2" s="356"/>
      <c r="Z2" s="356"/>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9"/>
      <c r="BU2" s="359"/>
      <c r="BV2" s="359"/>
      <c r="BW2" s="359"/>
      <c r="BX2" s="359"/>
      <c r="BY2" s="359"/>
      <c r="BZ2" s="359"/>
      <c r="CA2" s="359"/>
      <c r="CB2" s="359"/>
      <c r="CC2" s="359"/>
      <c r="IU2" s="360">
        <v>0</v>
      </c>
    </row>
    <row r="3" spans="1:255" s="1569" customFormat="1" ht="4.5" customHeight="1">
      <c r="A3" s="433"/>
      <c r="D3" s="431"/>
      <c r="F3" s="185" t="s">
        <v>88</v>
      </c>
      <c r="G3" s="431" t="s">
        <v>89</v>
      </c>
      <c r="H3" s="431"/>
      <c r="I3" s="431"/>
      <c r="J3" s="165" t="s">
        <v>90</v>
      </c>
      <c r="K3" s="185" t="s">
        <v>88</v>
      </c>
      <c r="L3" s="185"/>
      <c r="M3" s="185"/>
      <c r="N3" s="185"/>
      <c r="O3" s="186"/>
      <c r="P3" s="185"/>
      <c r="Q3" s="185"/>
      <c r="R3" s="185"/>
      <c r="S3" s="185"/>
      <c r="T3" s="185"/>
      <c r="U3" s="165"/>
      <c r="V3" s="16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448">
        <v>4</v>
      </c>
    </row>
    <row r="4" spans="1:255" s="1745" customFormat="1" ht="15" customHeight="1">
      <c r="A4" s="1082"/>
      <c r="B4" s="1087"/>
      <c r="C4" s="1082"/>
      <c r="D4" s="1422"/>
      <c r="E4" s="446"/>
      <c r="F4" s="1569"/>
      <c r="G4" s="446"/>
      <c r="H4" s="446"/>
      <c r="I4" s="446"/>
      <c r="J4" s="104"/>
      <c r="K4" s="185"/>
      <c r="L4" s="437"/>
      <c r="M4" s="437"/>
      <c r="N4" s="437"/>
      <c r="O4" s="164"/>
      <c r="P4" s="437"/>
      <c r="Q4" s="163"/>
      <c r="R4" s="163"/>
      <c r="S4" s="163"/>
      <c r="T4" s="163"/>
      <c r="IU4" s="444">
        <v>14</v>
      </c>
    </row>
    <row r="5" spans="1:255" s="1745" customFormat="1" ht="27" customHeight="1">
      <c r="A5" s="1082"/>
      <c r="B5" s="1087"/>
      <c r="C5" s="1082"/>
      <c r="D5" s="1422"/>
      <c r="E5" s="2744" t="str">
        <f>"Форма "&amp;IF(TEMPLATE_SPHERE="HEAT","3","2")&amp;". Перечень "&amp;IF(TEMPLATE_SPHERE="HEAT","регулируемых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теплоснабжения)","организаций, в отношении которых "&amp;IF(TEMPLATE_SPHERE="TKO","осуществляется регулирование предельных тарифов, а также перечень операторов по обращению с твердыми коммунальными отходами, осуществляющих деятельность по транспортированию твердых коммунальных отходов","орган регулирования тарифов осуществляет регулирование тарифов в сфере водоснабжения и водоотведения"))</f>
        <v>Форма 3. Перечень регулируемых организаций (единых теплоснабжающих организаций в ценовых зонах теплоснабжения, теплоснабжающих организаций в ценовых зонах теплоснабжения и теплосетевых организаций в ценовых зонах теплоснабжения)</v>
      </c>
      <c r="F5" s="2744"/>
      <c r="G5" s="2744"/>
      <c r="H5" s="2744"/>
      <c r="I5" s="2744"/>
      <c r="J5" s="2744"/>
      <c r="K5" s="185"/>
      <c r="L5" s="437"/>
      <c r="M5" s="437"/>
      <c r="N5" s="437"/>
      <c r="O5" s="164"/>
      <c r="P5" s="437"/>
      <c r="Q5" s="163"/>
      <c r="R5" s="163"/>
      <c r="S5" s="163"/>
      <c r="T5" s="163"/>
      <c r="IU5" s="444">
        <v>26</v>
      </c>
    </row>
    <row r="6" spans="1:255" s="1745" customFormat="1" ht="15" customHeight="1">
      <c r="A6" s="1082"/>
      <c r="B6" s="1087"/>
      <c r="C6" s="1082"/>
      <c r="D6" s="1422"/>
      <c r="E6" s="446"/>
      <c r="F6" s="105"/>
      <c r="G6" s="105"/>
      <c r="H6" s="105"/>
      <c r="I6" s="105"/>
      <c r="J6" s="106"/>
      <c r="K6" s="437"/>
      <c r="L6" s="437"/>
      <c r="M6" s="437"/>
      <c r="N6" s="437"/>
      <c r="O6" s="164"/>
      <c r="P6" s="437"/>
      <c r="Q6" s="163"/>
      <c r="R6" s="163"/>
      <c r="S6" s="163"/>
      <c r="T6" s="163"/>
      <c r="IU6" s="444">
        <v>14</v>
      </c>
    </row>
    <row r="7" spans="1:255" s="1745" customFormat="1" ht="15" customHeight="1">
      <c r="A7" s="1082"/>
      <c r="B7" s="1087"/>
      <c r="C7" s="1082"/>
      <c r="D7" s="1422"/>
      <c r="E7" s="2740" t="s">
        <v>345</v>
      </c>
      <c r="F7" s="2745"/>
      <c r="G7" s="2745"/>
      <c r="H7" s="2745"/>
      <c r="I7" s="2745"/>
      <c r="J7" s="3066" t="s">
        <v>346</v>
      </c>
      <c r="K7" s="437"/>
      <c r="L7" s="437"/>
      <c r="M7" s="437"/>
      <c r="N7" s="437"/>
      <c r="O7" s="164"/>
      <c r="P7" s="437"/>
      <c r="Q7" s="163"/>
      <c r="R7" s="163"/>
      <c r="S7" s="163"/>
      <c r="T7" s="163"/>
      <c r="IU7" s="444">
        <v>14</v>
      </c>
    </row>
    <row r="8" spans="1:255" s="1745" customFormat="1" ht="21" customHeight="1">
      <c r="A8" s="1082"/>
      <c r="B8" s="1087"/>
      <c r="C8" s="1082"/>
      <c r="D8" s="1422"/>
      <c r="E8" s="1475" t="s">
        <v>93</v>
      </c>
      <c r="F8" s="1467" t="s">
        <v>1916</v>
      </c>
      <c r="G8" s="1467" t="s">
        <v>53</v>
      </c>
      <c r="H8" s="1467" t="s">
        <v>55</v>
      </c>
      <c r="I8" s="1467" t="s">
        <v>1917</v>
      </c>
      <c r="J8" s="3067"/>
      <c r="K8" s="437"/>
      <c r="L8" s="437"/>
      <c r="M8" s="437"/>
      <c r="N8" s="437"/>
      <c r="O8" s="164"/>
      <c r="P8" s="437"/>
      <c r="Q8" s="163"/>
      <c r="R8" s="163"/>
      <c r="S8" s="163"/>
      <c r="T8" s="163"/>
      <c r="IU8" s="444">
        <v>20</v>
      </c>
    </row>
    <row r="9" spans="1:255" s="1775" customFormat="1" ht="23.25" customHeight="1">
      <c r="A9" s="1558"/>
      <c r="B9" s="1087">
        <v>1</v>
      </c>
      <c r="C9" s="1087"/>
      <c r="D9" s="732"/>
      <c r="E9" s="1411">
        <v>1</v>
      </c>
      <c r="F9" s="1474"/>
      <c r="G9" s="1418"/>
      <c r="H9" s="1418"/>
      <c r="I9" s="1465"/>
      <c r="J9" s="2802" t="str">
        <f>IF(TEMPLATE_SPHERE="TKO","Региональным органом регулирования (органом местного самоуправления) раскрывается информация по указанной форме в отношении"&amp;" операторов по обращению с твердыми коммунальными отходами, осуществляющих деятельность по транспортированию твердых коммунальных отходов, "&amp;"сведения о которых содержатся в договорах на транспортирование твердых коммунальных отходов, заключенных региональным оператором с таким оператором,"&amp;" и о предложении об установлении единого тарифа на услугу регионального оператора.","")&amp;"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налогоплательщика."&amp;"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f>
        <v xml:space="preserve">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K9" s="1462"/>
      <c r="L9" s="448"/>
      <c r="M9" s="448"/>
      <c r="N9" s="437" t="str">
        <f t="array" ref="N9">IF(ISERROR(MATCH(MID(O9,1,250),MID(note_ter,1,250),0)),"n","y")</f>
        <v>n</v>
      </c>
      <c r="O9" s="448"/>
      <c r="P9" s="437" t="str">
        <f>G9&amp;"("&amp;J9&amp;")"</f>
        <v>(
Значение в поле «Наименование организации» содержит наименование юридического лица согласно уставу организации.
Значение в поле «ИНН» содержит идентификационный номер налогоплательщика.
Значение в поле «КПП» содержит код постановки на учёт.
Значение в поле «ОГРН (ОГРНИП)» содержит основной государственный регистрационный номер юридического лица (индивидуального предпринимателя).)</v>
      </c>
      <c r="Q9" s="1087"/>
      <c r="R9" s="1087"/>
      <c r="S9" s="357"/>
      <c r="T9" s="1087"/>
      <c r="U9" s="1087"/>
      <c r="V9" s="1087"/>
      <c r="W9" s="359"/>
      <c r="X9" s="359"/>
      <c r="Y9" s="356"/>
      <c r="Z9" s="356"/>
      <c r="AA9" s="356"/>
      <c r="AB9" s="356"/>
      <c r="AC9" s="356"/>
      <c r="AD9" s="356"/>
      <c r="AE9" s="356"/>
      <c r="AF9" s="356"/>
      <c r="AG9" s="356"/>
      <c r="AH9" s="356"/>
      <c r="AI9" s="356"/>
      <c r="AJ9" s="356"/>
      <c r="AK9" s="356"/>
      <c r="AL9" s="356"/>
      <c r="AM9" s="356"/>
      <c r="AN9" s="356"/>
      <c r="AO9" s="356"/>
      <c r="AP9" s="356"/>
      <c r="AQ9" s="356"/>
      <c r="AR9" s="356"/>
      <c r="AS9" s="356"/>
      <c r="AT9" s="356"/>
      <c r="AU9" s="356"/>
      <c r="AV9" s="356"/>
      <c r="AW9" s="356"/>
      <c r="AX9" s="356"/>
      <c r="AY9" s="356"/>
      <c r="AZ9" s="356"/>
      <c r="BA9" s="356"/>
      <c r="BB9" s="356"/>
      <c r="BC9" s="356"/>
      <c r="BD9" s="356"/>
      <c r="BE9" s="356"/>
      <c r="BF9" s="356"/>
      <c r="BG9" s="356"/>
      <c r="BH9" s="356"/>
      <c r="BI9" s="356"/>
      <c r="BJ9" s="356"/>
      <c r="BK9" s="356"/>
      <c r="BL9" s="356"/>
      <c r="BM9" s="356"/>
      <c r="BN9" s="356"/>
      <c r="BO9" s="356"/>
      <c r="BP9" s="356"/>
      <c r="BQ9" s="356"/>
      <c r="BR9" s="356"/>
      <c r="BS9" s="356"/>
      <c r="BT9" s="359"/>
      <c r="BU9" s="359"/>
      <c r="BV9" s="359"/>
      <c r="BW9" s="359"/>
      <c r="BX9" s="359"/>
      <c r="BY9" s="359"/>
      <c r="BZ9" s="359"/>
      <c r="CA9" s="359"/>
      <c r="CB9" s="359"/>
      <c r="CC9" s="359"/>
      <c r="IU9" s="360">
        <v>22</v>
      </c>
    </row>
    <row r="10" spans="1:255" s="1775" customFormat="1" ht="15.75" customHeight="1">
      <c r="A10" s="1558"/>
      <c r="B10" s="1087"/>
      <c r="C10" s="349"/>
      <c r="D10" s="732"/>
      <c r="E10" s="1468"/>
      <c r="F10" s="1427" t="s">
        <v>1918</v>
      </c>
      <c r="G10" s="1469"/>
      <c r="H10" s="1469"/>
      <c r="I10" s="1824"/>
      <c r="J10" s="2804"/>
      <c r="K10" s="1463"/>
      <c r="L10" s="448"/>
      <c r="M10" s="448"/>
      <c r="N10" s="448"/>
      <c r="O10" s="437"/>
      <c r="P10" s="448"/>
      <c r="Q10" s="1087"/>
      <c r="R10" s="1087"/>
      <c r="S10" s="357"/>
      <c r="T10" s="1087"/>
      <c r="U10" s="1087"/>
      <c r="V10" s="1087"/>
      <c r="W10" s="359"/>
      <c r="X10" s="359"/>
      <c r="Y10" s="356"/>
      <c r="Z10" s="356"/>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9"/>
      <c r="BU10" s="359"/>
      <c r="BV10" s="359"/>
      <c r="BW10" s="359"/>
      <c r="BX10" s="359"/>
      <c r="BY10" s="359"/>
      <c r="BZ10" s="359"/>
      <c r="CA10" s="359"/>
      <c r="CB10" s="359"/>
      <c r="CC10" s="359"/>
      <c r="IU10" s="360">
        <v>15</v>
      </c>
    </row>
    <row r="11" spans="1:255" s="1745" customFormat="1" ht="21.75" customHeight="1">
      <c r="A11" s="1082"/>
      <c r="B11" s="1087"/>
      <c r="C11" s="1082"/>
      <c r="D11" s="388"/>
      <c r="E11" s="118"/>
      <c r="F11" s="118"/>
      <c r="G11" s="118"/>
      <c r="H11" s="118"/>
      <c r="I11" s="118"/>
      <c r="J11" s="118"/>
      <c r="K11" s="437"/>
      <c r="L11" s="437"/>
      <c r="M11" s="437"/>
      <c r="N11" s="437"/>
      <c r="O11" s="164"/>
      <c r="P11" s="437"/>
      <c r="Q11" s="163"/>
      <c r="R11" s="163"/>
      <c r="S11" s="163"/>
      <c r="T11" s="163"/>
      <c r="IU11" s="444">
        <v>21</v>
      </c>
    </row>
    <row r="12" spans="1:255" s="1745" customFormat="1" ht="15" customHeight="1">
      <c r="A12" s="1082"/>
      <c r="B12" s="1087"/>
      <c r="C12" s="1082"/>
      <c r="D12" s="388"/>
      <c r="E12" s="1082"/>
      <c r="F12" s="1082"/>
      <c r="G12" s="1082"/>
      <c r="H12" s="1082"/>
      <c r="I12" s="1082"/>
      <c r="J12" s="1082"/>
      <c r="K12" s="437"/>
      <c r="L12" s="437"/>
      <c r="M12" s="437"/>
      <c r="N12" s="437"/>
      <c r="O12" s="164"/>
      <c r="P12" s="437"/>
      <c r="Q12" s="163"/>
      <c r="R12" s="163"/>
      <c r="S12" s="163"/>
      <c r="T12" s="163"/>
      <c r="IU12" s="444">
        <v>14</v>
      </c>
    </row>
    <row r="13" spans="1:255" s="1745" customFormat="1" ht="0.75" customHeight="1">
      <c r="A13" s="1082"/>
      <c r="B13" s="1087"/>
      <c r="C13" s="1082"/>
      <c r="D13" s="388"/>
      <c r="E13" s="1082"/>
      <c r="F13" s="1082"/>
      <c r="G13" s="1082"/>
      <c r="H13" s="1082"/>
      <c r="I13" s="1082"/>
      <c r="J13" s="1082"/>
      <c r="K13" s="437"/>
      <c r="L13" s="437"/>
      <c r="M13" s="437"/>
      <c r="N13" s="437"/>
      <c r="O13" s="164"/>
      <c r="P13" s="437"/>
      <c r="Q13" s="163"/>
      <c r="R13" s="163"/>
      <c r="S13" s="163"/>
      <c r="T13" s="163"/>
      <c r="IU13" s="444">
        <v>1</v>
      </c>
    </row>
    <row r="14" spans="1:255" s="994" customFormat="1" ht="10.5" customHeight="1">
      <c r="B14" s="765"/>
      <c r="D14" s="120"/>
      <c r="K14" s="437"/>
      <c r="L14" s="437"/>
      <c r="M14" s="437"/>
      <c r="N14" s="437"/>
      <c r="O14" s="164"/>
      <c r="P14" s="437"/>
      <c r="Q14" s="163"/>
      <c r="R14" s="163"/>
      <c r="S14" s="163"/>
      <c r="T14" s="163"/>
      <c r="IU14" s="119">
        <v>10</v>
      </c>
    </row>
    <row r="15" spans="1:255" s="994" customFormat="1" ht="10.5" customHeight="1">
      <c r="B15" s="765"/>
      <c r="D15" s="120"/>
      <c r="K15" s="437"/>
      <c r="L15" s="437"/>
      <c r="M15" s="437"/>
      <c r="N15" s="437"/>
      <c r="O15" s="164"/>
      <c r="P15" s="437"/>
      <c r="Q15" s="163"/>
      <c r="R15" s="163"/>
      <c r="S15" s="163"/>
      <c r="T15" s="163"/>
      <c r="IU15" s="119">
        <v>10</v>
      </c>
    </row>
    <row r="16" spans="1:255" ht="15" customHeight="1">
      <c r="IU16" s="1082">
        <v>14</v>
      </c>
    </row>
    <row r="17" spans="1:255" ht="15" customHeight="1">
      <c r="IU17" s="1082">
        <v>14</v>
      </c>
    </row>
    <row r="18" spans="1:255" ht="15" customHeight="1">
      <c r="IU18" s="1082">
        <v>14</v>
      </c>
    </row>
    <row r="19" spans="1:255" ht="15" customHeight="1">
      <c r="G19" s="310"/>
      <c r="H19" s="310"/>
      <c r="I19" s="310"/>
      <c r="IU19" s="1082">
        <v>14</v>
      </c>
    </row>
    <row r="20" spans="1:255" ht="15" customHeight="1">
      <c r="IU20" s="1082">
        <v>14</v>
      </c>
    </row>
    <row r="21" spans="1:255" ht="15" customHeight="1">
      <c r="IU21" s="1082">
        <v>14</v>
      </c>
    </row>
    <row r="22" spans="1:255" ht="15" customHeight="1">
      <c r="IU22" s="1082">
        <v>14</v>
      </c>
    </row>
    <row r="23" spans="1:255" ht="15" customHeight="1">
      <c r="K23" s="1082"/>
      <c r="L23" s="1082"/>
      <c r="M23" s="1082"/>
      <c r="IU23" s="1082">
        <v>14</v>
      </c>
    </row>
    <row r="24" spans="1:255" ht="22.5" hidden="1" customHeight="1">
      <c r="A24" s="1082" t="s">
        <v>87</v>
      </c>
      <c r="B24" s="1087">
        <v>0</v>
      </c>
      <c r="C24" s="1082">
        <v>0</v>
      </c>
      <c r="D24" s="388">
        <v>3</v>
      </c>
      <c r="E24" s="1082">
        <v>6</v>
      </c>
      <c r="F24" s="1082">
        <v>46</v>
      </c>
      <c r="G24" s="1082">
        <v>16</v>
      </c>
      <c r="H24" s="1082">
        <v>16</v>
      </c>
      <c r="I24" s="1082">
        <v>35</v>
      </c>
      <c r="J24" s="1082">
        <v>89</v>
      </c>
      <c r="K24" s="437">
        <v>3</v>
      </c>
      <c r="L24" s="437">
        <v>8</v>
      </c>
      <c r="M24" s="437">
        <v>8</v>
      </c>
      <c r="N24" s="437">
        <v>8</v>
      </c>
      <c r="O24" s="164">
        <v>25</v>
      </c>
      <c r="P24" s="437">
        <v>14</v>
      </c>
      <c r="Q24" s="163">
        <v>8</v>
      </c>
      <c r="R24" s="163">
        <v>8</v>
      </c>
      <c r="S24" s="163">
        <v>8</v>
      </c>
      <c r="T24" s="163">
        <v>8</v>
      </c>
      <c r="U24" s="1082">
        <v>8</v>
      </c>
      <c r="V24" s="1082">
        <v>8</v>
      </c>
      <c r="W24" s="1082">
        <v>8</v>
      </c>
      <c r="X24" s="1082">
        <v>8</v>
      </c>
      <c r="Y24" s="1082">
        <v>8</v>
      </c>
      <c r="Z24" s="1082">
        <v>8</v>
      </c>
      <c r="AA24" s="1082">
        <v>8</v>
      </c>
      <c r="AB24" s="1082">
        <v>8</v>
      </c>
      <c r="AC24" s="1082">
        <v>8</v>
      </c>
      <c r="AD24" s="1082">
        <v>8</v>
      </c>
      <c r="AE24" s="1082">
        <v>8</v>
      </c>
      <c r="AF24" s="1082">
        <v>8</v>
      </c>
      <c r="AG24" s="1082">
        <v>8</v>
      </c>
      <c r="AH24" s="1082">
        <v>8</v>
      </c>
      <c r="AI24" s="1082">
        <v>8</v>
      </c>
      <c r="AJ24" s="1082">
        <v>8</v>
      </c>
      <c r="AK24" s="1082">
        <v>8</v>
      </c>
      <c r="AL24" s="1082">
        <v>8</v>
      </c>
      <c r="AM24" s="1082">
        <v>8</v>
      </c>
      <c r="AN24" s="1082">
        <v>8</v>
      </c>
      <c r="AO24" s="1082">
        <v>8</v>
      </c>
      <c r="AP24" s="1082">
        <v>8</v>
      </c>
      <c r="AQ24" s="1082">
        <v>8</v>
      </c>
      <c r="AR24" s="1082">
        <v>8</v>
      </c>
      <c r="AS24" s="1082">
        <v>8</v>
      </c>
      <c r="AT24" s="1082">
        <v>8</v>
      </c>
      <c r="AU24" s="1082">
        <v>8</v>
      </c>
      <c r="AV24" s="1082">
        <v>8</v>
      </c>
      <c r="AW24" s="1082">
        <v>8</v>
      </c>
      <c r="AX24" s="1082">
        <v>8</v>
      </c>
      <c r="AY24" s="1082">
        <v>8</v>
      </c>
      <c r="AZ24" s="1082">
        <v>8</v>
      </c>
      <c r="BA24" s="1082">
        <v>8</v>
      </c>
      <c r="BB24" s="1082">
        <v>8</v>
      </c>
      <c r="BC24" s="1082">
        <v>8</v>
      </c>
      <c r="BD24" s="1082">
        <v>8</v>
      </c>
      <c r="BE24" s="1082">
        <v>8</v>
      </c>
      <c r="BF24" s="1082">
        <v>8</v>
      </c>
      <c r="BG24" s="1082">
        <v>8</v>
      </c>
      <c r="BH24" s="1082">
        <v>8</v>
      </c>
      <c r="BI24" s="1082">
        <v>8</v>
      </c>
      <c r="BJ24" s="1082">
        <v>8</v>
      </c>
      <c r="BK24" s="1082">
        <v>8</v>
      </c>
      <c r="BL24" s="1082">
        <v>8</v>
      </c>
      <c r="BM24" s="1082">
        <v>8</v>
      </c>
      <c r="BN24" s="1082">
        <v>8</v>
      </c>
      <c r="BO24" s="1082">
        <v>8</v>
      </c>
      <c r="BP24" s="1082">
        <v>8</v>
      </c>
      <c r="BQ24" s="1082">
        <v>8</v>
      </c>
      <c r="BR24" s="1082">
        <v>8</v>
      </c>
      <c r="BS24" s="1082">
        <v>8</v>
      </c>
      <c r="BT24" s="1082">
        <v>8</v>
      </c>
      <c r="BU24" s="1082">
        <v>8</v>
      </c>
      <c r="BV24" s="1082">
        <v>8</v>
      </c>
      <c r="BW24" s="1082">
        <v>8</v>
      </c>
      <c r="BX24" s="1082">
        <v>8</v>
      </c>
      <c r="BY24" s="1082">
        <v>8</v>
      </c>
      <c r="BZ24" s="1082">
        <v>8</v>
      </c>
      <c r="CA24" s="1082">
        <v>8</v>
      </c>
      <c r="CB24" s="1082">
        <v>8</v>
      </c>
      <c r="CC24" s="1082">
        <v>8</v>
      </c>
      <c r="CD24" s="1082">
        <v>8</v>
      </c>
      <c r="CE24" s="1082">
        <v>8</v>
      </c>
      <c r="CF24" s="1082">
        <v>8</v>
      </c>
      <c r="CG24" s="1082">
        <v>8</v>
      </c>
      <c r="CH24" s="1082">
        <v>8</v>
      </c>
      <c r="CI24" s="1082">
        <v>8</v>
      </c>
      <c r="CJ24" s="1082">
        <v>8</v>
      </c>
      <c r="CK24" s="1082">
        <v>8</v>
      </c>
      <c r="CL24" s="1082">
        <v>8</v>
      </c>
      <c r="CM24" s="1082">
        <v>8</v>
      </c>
      <c r="CN24" s="1082">
        <v>8</v>
      </c>
      <c r="CO24" s="1082">
        <v>8</v>
      </c>
      <c r="CP24" s="1082">
        <v>8</v>
      </c>
      <c r="CQ24" s="1082">
        <v>8</v>
      </c>
      <c r="CR24" s="1082">
        <v>8</v>
      </c>
      <c r="CS24" s="1082">
        <v>8</v>
      </c>
      <c r="CT24" s="1082">
        <v>8</v>
      </c>
      <c r="CU24" s="1082">
        <v>8</v>
      </c>
      <c r="CV24" s="1082">
        <v>8</v>
      </c>
      <c r="CW24" s="1082">
        <v>8</v>
      </c>
      <c r="CX24" s="1082">
        <v>8</v>
      </c>
      <c r="CY24" s="1082">
        <v>8</v>
      </c>
      <c r="CZ24" s="1082">
        <v>8</v>
      </c>
      <c r="DA24" s="1082">
        <v>8</v>
      </c>
      <c r="DB24" s="1082">
        <v>8</v>
      </c>
      <c r="DC24" s="1082">
        <v>8</v>
      </c>
      <c r="DD24" s="1082">
        <v>8</v>
      </c>
      <c r="DE24" s="1082">
        <v>8</v>
      </c>
      <c r="DF24" s="1082">
        <v>8</v>
      </c>
      <c r="DG24" s="1082">
        <v>8</v>
      </c>
      <c r="DH24" s="1082">
        <v>8</v>
      </c>
      <c r="DI24" s="1082">
        <v>8</v>
      </c>
      <c r="DJ24" s="1082">
        <v>8</v>
      </c>
      <c r="DK24" s="1082">
        <v>8</v>
      </c>
      <c r="DL24" s="1082">
        <v>8</v>
      </c>
      <c r="DM24" s="1082">
        <v>8</v>
      </c>
      <c r="DN24" s="1082">
        <v>8</v>
      </c>
      <c r="DO24" s="1082">
        <v>8</v>
      </c>
      <c r="DP24" s="1082">
        <v>8</v>
      </c>
      <c r="DQ24" s="1082">
        <v>8</v>
      </c>
      <c r="DR24" s="1082">
        <v>8</v>
      </c>
      <c r="DS24" s="1082">
        <v>8</v>
      </c>
      <c r="DT24" s="1082">
        <v>8</v>
      </c>
      <c r="DU24" s="1082">
        <v>8</v>
      </c>
      <c r="DV24" s="1082">
        <v>8</v>
      </c>
      <c r="DW24" s="1082">
        <v>8</v>
      </c>
      <c r="DX24" s="1082">
        <v>8</v>
      </c>
      <c r="DY24" s="1082">
        <v>8</v>
      </c>
      <c r="DZ24" s="1082">
        <v>8</v>
      </c>
      <c r="EA24" s="1082">
        <v>8</v>
      </c>
      <c r="EB24" s="1082">
        <v>8</v>
      </c>
      <c r="EC24" s="1082">
        <v>8</v>
      </c>
      <c r="ED24" s="1082">
        <v>8</v>
      </c>
      <c r="EE24" s="1082">
        <v>8</v>
      </c>
      <c r="EF24" s="1082">
        <v>8</v>
      </c>
      <c r="EG24" s="1082">
        <v>8</v>
      </c>
      <c r="EH24" s="1082">
        <v>8</v>
      </c>
      <c r="EI24" s="1082">
        <v>8</v>
      </c>
      <c r="EJ24" s="1082">
        <v>8</v>
      </c>
      <c r="EK24" s="1082">
        <v>8</v>
      </c>
      <c r="EL24" s="1082">
        <v>8</v>
      </c>
      <c r="EM24" s="1082">
        <v>8</v>
      </c>
      <c r="EN24" s="1082">
        <v>8</v>
      </c>
      <c r="EO24" s="1082">
        <v>8</v>
      </c>
      <c r="EP24" s="1082">
        <v>8</v>
      </c>
      <c r="EQ24" s="1082">
        <v>8</v>
      </c>
      <c r="ER24" s="1082">
        <v>8</v>
      </c>
      <c r="ES24" s="1082">
        <v>8</v>
      </c>
      <c r="ET24" s="1082">
        <v>8</v>
      </c>
      <c r="EU24" s="1082">
        <v>8</v>
      </c>
      <c r="EV24" s="1082">
        <v>8</v>
      </c>
      <c r="EW24" s="1082">
        <v>8</v>
      </c>
      <c r="EX24" s="1082">
        <v>8</v>
      </c>
      <c r="EY24" s="1082">
        <v>8</v>
      </c>
      <c r="EZ24" s="1082">
        <v>8</v>
      </c>
      <c r="FA24" s="1082">
        <v>8</v>
      </c>
      <c r="FB24" s="1082">
        <v>8</v>
      </c>
      <c r="FC24" s="1082">
        <v>8</v>
      </c>
      <c r="FD24" s="1082">
        <v>8</v>
      </c>
      <c r="FE24" s="1082">
        <v>8</v>
      </c>
      <c r="FF24" s="1082">
        <v>8</v>
      </c>
      <c r="FG24" s="1082">
        <v>8</v>
      </c>
      <c r="FH24" s="1082">
        <v>8</v>
      </c>
      <c r="FI24" s="1082">
        <v>8</v>
      </c>
      <c r="FJ24" s="1082">
        <v>8</v>
      </c>
      <c r="FK24" s="1082">
        <v>8</v>
      </c>
      <c r="FL24" s="1082">
        <v>8</v>
      </c>
      <c r="FM24" s="1082">
        <v>8</v>
      </c>
      <c r="FN24" s="1082">
        <v>8</v>
      </c>
      <c r="FO24" s="1082">
        <v>8</v>
      </c>
      <c r="FP24" s="1082">
        <v>8</v>
      </c>
      <c r="FQ24" s="1082">
        <v>8</v>
      </c>
      <c r="FR24" s="1082">
        <v>8</v>
      </c>
      <c r="FS24" s="1082">
        <v>8</v>
      </c>
      <c r="FT24" s="1082">
        <v>8</v>
      </c>
      <c r="FU24" s="1082">
        <v>8</v>
      </c>
      <c r="FV24" s="1082">
        <v>8</v>
      </c>
      <c r="FW24" s="1082">
        <v>8</v>
      </c>
      <c r="FX24" s="1082">
        <v>8</v>
      </c>
      <c r="FY24" s="1082">
        <v>8</v>
      </c>
      <c r="FZ24" s="1082">
        <v>8</v>
      </c>
      <c r="GA24" s="1082">
        <v>8</v>
      </c>
      <c r="GB24" s="1082">
        <v>8</v>
      </c>
      <c r="GC24" s="1082">
        <v>8</v>
      </c>
      <c r="GD24" s="1082">
        <v>8</v>
      </c>
      <c r="GE24" s="1082">
        <v>8</v>
      </c>
      <c r="GF24" s="1082">
        <v>8</v>
      </c>
      <c r="GG24" s="1082">
        <v>8</v>
      </c>
      <c r="GH24" s="1082">
        <v>8</v>
      </c>
      <c r="GI24" s="1082">
        <v>8</v>
      </c>
      <c r="GJ24" s="1082">
        <v>8</v>
      </c>
      <c r="GK24" s="1082">
        <v>8</v>
      </c>
      <c r="GL24" s="1082">
        <v>8</v>
      </c>
      <c r="GM24" s="1082">
        <v>8</v>
      </c>
      <c r="GN24" s="1082">
        <v>8</v>
      </c>
      <c r="GO24" s="1082">
        <v>8</v>
      </c>
      <c r="GP24" s="1082">
        <v>8</v>
      </c>
      <c r="GQ24" s="1082">
        <v>8</v>
      </c>
      <c r="GR24" s="1082">
        <v>8</v>
      </c>
      <c r="GS24" s="1082">
        <v>8</v>
      </c>
      <c r="GT24" s="1082">
        <v>8</v>
      </c>
      <c r="GU24" s="1082">
        <v>8</v>
      </c>
      <c r="GV24" s="1082">
        <v>8</v>
      </c>
      <c r="GW24" s="1082">
        <v>8</v>
      </c>
      <c r="GX24" s="1082">
        <v>8</v>
      </c>
      <c r="GY24" s="1082">
        <v>8</v>
      </c>
      <c r="GZ24" s="1082">
        <v>8</v>
      </c>
      <c r="HA24" s="1082">
        <v>8</v>
      </c>
      <c r="HB24" s="1082">
        <v>8</v>
      </c>
      <c r="HC24" s="1082">
        <v>8</v>
      </c>
      <c r="HD24" s="1082">
        <v>8</v>
      </c>
      <c r="HE24" s="1082">
        <v>8</v>
      </c>
      <c r="HF24" s="1082">
        <v>8</v>
      </c>
      <c r="HG24" s="1082">
        <v>8</v>
      </c>
      <c r="HH24" s="1082">
        <v>8</v>
      </c>
      <c r="HI24" s="1082">
        <v>8</v>
      </c>
      <c r="HJ24" s="1082">
        <v>8</v>
      </c>
      <c r="HK24" s="1082">
        <v>8</v>
      </c>
      <c r="HL24" s="1082">
        <v>8</v>
      </c>
      <c r="HM24" s="1082">
        <v>8</v>
      </c>
      <c r="HN24" s="1082">
        <v>8</v>
      </c>
      <c r="HO24" s="1082">
        <v>8</v>
      </c>
      <c r="HP24" s="1082">
        <v>8</v>
      </c>
      <c r="HQ24" s="1082">
        <v>8</v>
      </c>
      <c r="HR24" s="1082">
        <v>8</v>
      </c>
      <c r="HS24" s="1082">
        <v>8</v>
      </c>
      <c r="HT24" s="1082">
        <v>8</v>
      </c>
      <c r="HU24" s="1082">
        <v>8</v>
      </c>
      <c r="HV24" s="1082">
        <v>8</v>
      </c>
      <c r="HW24" s="1082">
        <v>8</v>
      </c>
      <c r="HX24" s="1082">
        <v>8</v>
      </c>
      <c r="HY24" s="1082">
        <v>8</v>
      </c>
      <c r="HZ24" s="1082">
        <v>8</v>
      </c>
      <c r="IA24" s="1082">
        <v>8</v>
      </c>
      <c r="IB24" s="1082">
        <v>8</v>
      </c>
      <c r="IC24" s="1082">
        <v>8</v>
      </c>
      <c r="ID24" s="1082">
        <v>8</v>
      </c>
      <c r="IE24" s="1082">
        <v>8</v>
      </c>
      <c r="IF24" s="1082">
        <v>8</v>
      </c>
      <c r="IG24" s="1082">
        <v>8</v>
      </c>
      <c r="IH24" s="1082">
        <v>8</v>
      </c>
      <c r="II24" s="1082">
        <v>8</v>
      </c>
      <c r="IJ24" s="1082">
        <v>8</v>
      </c>
      <c r="IK24" s="1082">
        <v>8</v>
      </c>
      <c r="IL24" s="1082">
        <v>8</v>
      </c>
      <c r="IM24" s="1082">
        <v>8</v>
      </c>
      <c r="IN24" s="1082">
        <v>8</v>
      </c>
      <c r="IO24" s="1082">
        <v>8</v>
      </c>
      <c r="IP24" s="1082">
        <v>8</v>
      </c>
      <c r="IQ24" s="1082">
        <v>8</v>
      </c>
      <c r="IR24" s="1082">
        <v>8</v>
      </c>
      <c r="IS24" s="1082">
        <v>8</v>
      </c>
      <c r="IT24" s="1082">
        <v>8</v>
      </c>
      <c r="IU24" s="1082">
        <v>23</v>
      </c>
    </row>
  </sheetData>
  <sheetProtection formatColumns="0" formatRows="0" insertRows="0" deleteColumns="0" deleteRows="0" sort="0" autoFilter="0"/>
  <mergeCells count="4">
    <mergeCell ref="E5:J5"/>
    <mergeCell ref="E7:I7"/>
    <mergeCell ref="J7:J8"/>
    <mergeCell ref="J9:J10"/>
  </mergeCells>
  <dataValidations count="2">
    <dataValidation type="textLength" allowBlank="1" showInputMessage="1" showErrorMessage="1" prompt="ОГРН состоит из 13 цифр, ОГРНИП - из 15" sqref="I9 I2">
      <formula1>13</formula1>
      <formula2>15</formula2>
    </dataValidation>
    <dataValidation type="textLength" allowBlank="1" showInputMessage="1" showErrorMessage="1" sqref="I3">
      <formula1>13</formula1>
      <formula2>15</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082" t="s">
        <v>14</v>
      </c>
    </row>
    <row r="2" spans="1:257" s="1775" customFormat="1" ht="22.5" hidden="1" customHeight="1">
      <c r="A2" s="762"/>
      <c r="B2" s="1087">
        <v>1</v>
      </c>
      <c r="C2" s="1087"/>
      <c r="D2" s="1850" t="s">
        <v>179</v>
      </c>
      <c r="E2" s="1814"/>
      <c r="F2" s="1817" t="str">
        <f>IF(ROIV_INFO_NAME="","",ROIV_INFO_NAME)</f>
        <v>ТМУП "ТТС"</v>
      </c>
      <c r="G2" s="1842" t="s">
        <v>30</v>
      </c>
      <c r="H2" s="1841"/>
      <c r="I2" s="1465"/>
      <c r="J2" s="749"/>
      <c r="K2" s="749"/>
      <c r="L2" s="166"/>
      <c r="M2" s="1462" t="e">
        <f ca="1">MERGEVALUE(F2)</f>
        <v>#NAME?</v>
      </c>
      <c r="N2" s="448"/>
      <c r="O2" s="448"/>
      <c r="P2" s="437" t="str">
        <f t="array" ref="P2">IF(ISERROR(MATCH(MID(Q2,1,250),MID(note_ter,1,250),0)),"n","y")</f>
        <v>n</v>
      </c>
      <c r="Q2" s="448"/>
      <c r="R2" s="437" t="str">
        <f>G2&amp;"("&amp;L2&amp;")"</f>
        <v>()</v>
      </c>
      <c r="S2" s="1087"/>
      <c r="T2" s="1087"/>
      <c r="U2" s="357"/>
      <c r="V2" s="1087"/>
      <c r="W2" s="1087"/>
      <c r="X2" s="1087"/>
      <c r="Y2" s="359"/>
      <c r="Z2" s="359"/>
      <c r="AA2" s="356"/>
      <c r="AB2" s="356"/>
      <c r="AC2" s="356"/>
      <c r="AD2" s="356"/>
      <c r="AE2" s="356"/>
      <c r="AF2" s="356"/>
      <c r="AG2" s="356"/>
      <c r="AH2" s="356"/>
      <c r="AI2" s="356"/>
      <c r="AJ2" s="356"/>
      <c r="AK2" s="356"/>
      <c r="AL2" s="356"/>
      <c r="AM2" s="356"/>
      <c r="AN2" s="356"/>
      <c r="AO2" s="356"/>
      <c r="AP2" s="356"/>
      <c r="AQ2" s="356"/>
      <c r="AR2" s="356"/>
      <c r="AS2" s="356"/>
      <c r="AT2" s="356"/>
      <c r="AU2" s="356"/>
      <c r="AV2" s="356"/>
      <c r="AW2" s="356"/>
      <c r="AX2" s="356"/>
      <c r="AY2" s="356"/>
      <c r="AZ2" s="356"/>
      <c r="BA2" s="356"/>
      <c r="BB2" s="356"/>
      <c r="BC2" s="356"/>
      <c r="BD2" s="356"/>
      <c r="BE2" s="356"/>
      <c r="BF2" s="356"/>
      <c r="BG2" s="356"/>
      <c r="BH2" s="356"/>
      <c r="BI2" s="356"/>
      <c r="BJ2" s="356"/>
      <c r="BK2" s="356"/>
      <c r="BL2" s="356"/>
      <c r="BM2" s="356"/>
      <c r="BN2" s="356"/>
      <c r="BO2" s="356"/>
      <c r="BP2" s="356"/>
      <c r="BQ2" s="356"/>
      <c r="BR2" s="356"/>
      <c r="BS2" s="356"/>
      <c r="BT2" s="356"/>
      <c r="BU2" s="356"/>
      <c r="BV2" s="359"/>
      <c r="BW2" s="359"/>
      <c r="BX2" s="359"/>
      <c r="BY2" s="359"/>
      <c r="BZ2" s="359"/>
      <c r="CA2" s="359"/>
      <c r="CB2" s="359"/>
      <c r="CC2" s="359"/>
      <c r="CD2" s="359"/>
      <c r="CE2" s="359"/>
      <c r="IW2" s="360">
        <v>0</v>
      </c>
    </row>
    <row r="3" spans="1:257" s="1569" customFormat="1" ht="5.25" hidden="1" customHeight="1">
      <c r="A3" s="433"/>
      <c r="D3" s="431"/>
      <c r="F3" s="185" t="s">
        <v>88</v>
      </c>
      <c r="G3" s="1661" t="s">
        <v>89</v>
      </c>
      <c r="H3" s="431"/>
      <c r="I3" s="431"/>
      <c r="J3" s="431"/>
      <c r="K3" s="431"/>
      <c r="L3" s="165" t="s">
        <v>90</v>
      </c>
      <c r="M3" s="185" t="s">
        <v>88</v>
      </c>
      <c r="N3" s="185"/>
      <c r="O3" s="185"/>
      <c r="P3" s="185"/>
      <c r="Q3" s="186"/>
      <c r="R3" s="185"/>
      <c r="S3" s="185"/>
      <c r="T3" s="185"/>
      <c r="U3" s="185"/>
      <c r="V3" s="185"/>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448">
        <v>0</v>
      </c>
    </row>
    <row r="4" spans="1:257" s="1745" customFormat="1" ht="15" customHeight="1">
      <c r="A4" s="1082"/>
      <c r="B4" s="1087"/>
      <c r="C4" s="1082"/>
      <c r="D4" s="1422"/>
      <c r="E4" s="446"/>
      <c r="F4" s="446"/>
      <c r="G4" s="446"/>
      <c r="H4" s="446"/>
      <c r="I4" s="446"/>
      <c r="J4" s="446"/>
      <c r="K4" s="446"/>
      <c r="L4" s="104"/>
      <c r="M4" s="185"/>
      <c r="N4" s="437"/>
      <c r="O4" s="437"/>
      <c r="P4" s="437"/>
      <c r="Q4" s="164"/>
      <c r="R4" s="437"/>
      <c r="S4" s="163"/>
      <c r="T4" s="163"/>
      <c r="U4" s="163"/>
      <c r="V4" s="163"/>
      <c r="IW4" s="444">
        <v>14</v>
      </c>
    </row>
    <row r="5" spans="1:257" s="1745" customFormat="1" ht="27" customHeight="1">
      <c r="A5" s="1082"/>
      <c r="B5" s="1087"/>
      <c r="C5" s="1082"/>
      <c r="D5" s="1422"/>
      <c r="E5" s="27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744"/>
      <c r="G5" s="2744"/>
      <c r="H5" s="2744"/>
      <c r="I5" s="2744"/>
      <c r="J5" s="2744"/>
      <c r="K5" s="2744"/>
      <c r="L5" s="525"/>
      <c r="M5" s="185"/>
      <c r="N5" s="437"/>
      <c r="O5" s="437"/>
      <c r="P5" s="437"/>
      <c r="Q5" s="164"/>
      <c r="R5" s="437"/>
      <c r="S5" s="163"/>
      <c r="T5" s="163"/>
      <c r="U5" s="163"/>
      <c r="V5" s="163"/>
      <c r="IW5" s="444">
        <v>26</v>
      </c>
    </row>
    <row r="6" spans="1:257" s="1745" customFormat="1" ht="15" customHeight="1">
      <c r="A6" s="1082"/>
      <c r="B6" s="1087"/>
      <c r="C6" s="1082"/>
      <c r="D6" s="1422"/>
      <c r="E6" s="446"/>
      <c r="F6" s="105"/>
      <c r="G6" s="105"/>
      <c r="H6" s="105"/>
      <c r="I6" s="105"/>
      <c r="J6" s="105"/>
      <c r="K6" s="105"/>
      <c r="L6" s="106"/>
      <c r="M6" s="437"/>
      <c r="N6" s="437"/>
      <c r="O6" s="437"/>
      <c r="P6" s="437"/>
      <c r="Q6" s="164"/>
      <c r="R6" s="437"/>
      <c r="S6" s="163"/>
      <c r="T6" s="163"/>
      <c r="U6" s="163"/>
      <c r="V6" s="163"/>
      <c r="IW6" s="444">
        <v>14</v>
      </c>
    </row>
    <row r="7" spans="1:257" s="1745" customFormat="1" ht="15" customHeight="1">
      <c r="A7" s="1082"/>
      <c r="B7" s="1087"/>
      <c r="C7" s="1082"/>
      <c r="D7" s="1422"/>
      <c r="E7" s="2740" t="s">
        <v>345</v>
      </c>
      <c r="F7" s="2745"/>
      <c r="G7" s="2745"/>
      <c r="H7" s="2745"/>
      <c r="I7" s="2745"/>
      <c r="J7" s="2745"/>
      <c r="K7" s="2745"/>
      <c r="L7" s="3066" t="s">
        <v>346</v>
      </c>
      <c r="M7" s="437"/>
      <c r="N7" s="437"/>
      <c r="O7" s="437"/>
      <c r="P7" s="437"/>
      <c r="Q7" s="164"/>
      <c r="R7" s="437"/>
      <c r="S7" s="163"/>
      <c r="T7" s="163"/>
      <c r="U7" s="163"/>
      <c r="V7" s="163"/>
      <c r="IW7" s="444">
        <v>14</v>
      </c>
    </row>
    <row r="8" spans="1:257" s="1745" customFormat="1" ht="67.5" customHeight="1">
      <c r="A8" s="1082"/>
      <c r="B8" s="1087"/>
      <c r="C8" s="1082"/>
      <c r="D8" s="1422"/>
      <c r="E8" s="3070" t="s">
        <v>93</v>
      </c>
      <c r="F8" s="3070" t="str">
        <f>"Наименование "&amp;IF(TEMPLATE_SPHERE="TKO","регионального органа регулирования (органа местного самоуправления)","органа "&amp;IF(TEMPLATE_SPHERE="HEAT","тарифного регулирования","регулирования тарифов"))</f>
        <v>Наименование органа тарифного регулирования</v>
      </c>
      <c r="G8" s="3072" t="str">
        <f>"Заседание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на котором планируется рассмотрение дел об установлении "&amp;IF(TEMPLATE_SPHERE="TKO","предельных тарифов",IF(TEMPLATE_SPHERE="HEAT","цен (тарифов) в сфере теплоснабжения","тарифов в сфере водоснабжения и водоотведения"))</f>
        <v>Заседание правления (коллегии) органа тарифного регулирования, на котором планируется рассмотрение дел об установлении цен (тарифов) в сфере теплоснабжения</v>
      </c>
      <c r="H8" s="3073"/>
      <c r="I8" s="3074"/>
      <c r="J8" s="3070" t="str">
        <f>"Принятые "&amp;IF(TEMPLATE_SPHERE="TKO","региональным органом регулирования (органом местного самоуправления)","органом "&amp;IF(TEMPLATE_SPHERE="HEAT","тарифного регулирования","регулирования тарифов"))&amp;" решения об установлении "&amp;IF(TEMPLATE_SPHERE="TKO","предельных тарифов",IF(TEMPLATE_SPHERE="HEAT","цен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теплоснабжении""","тарифов в сфере водоснабжения и водоотведения"))</f>
        <v>Принятые органом тарифного регулирования решения об установлении цен (тарифов) в сфере теплоснабжения, а также решения об утверждении предельного уровня цены на тепловую энергию (мощность), принимаемые в соответствии с Федеральным законом от 27 июля 2010 г. N 190-ФЗ "О теплоснабжении"</v>
      </c>
      <c r="K8" s="307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068"/>
      <c r="M8" s="437"/>
      <c r="N8" s="437"/>
      <c r="O8" s="437"/>
      <c r="P8" s="437"/>
      <c r="Q8" s="164"/>
      <c r="R8" s="437"/>
      <c r="S8" s="163"/>
      <c r="T8" s="163"/>
      <c r="U8" s="163"/>
      <c r="V8" s="163"/>
      <c r="IW8" s="444">
        <v>64</v>
      </c>
    </row>
    <row r="9" spans="1:257" s="1745" customFormat="1" ht="29.25" customHeight="1">
      <c r="A9" s="1082"/>
      <c r="B9" s="1087"/>
      <c r="C9" s="1082"/>
      <c r="D9" s="1422"/>
      <c r="E9" s="3071"/>
      <c r="F9" s="3071"/>
      <c r="G9" s="1464" t="s">
        <v>1919</v>
      </c>
      <c r="H9" s="1464" t="s">
        <v>1920</v>
      </c>
      <c r="I9" s="1464" t="s">
        <v>1921</v>
      </c>
      <c r="J9" s="3071"/>
      <c r="K9" s="3071"/>
      <c r="L9" s="3067"/>
      <c r="M9" s="437"/>
      <c r="N9" s="437"/>
      <c r="O9" s="437"/>
      <c r="P9" s="437"/>
      <c r="Q9" s="164"/>
      <c r="R9" s="437"/>
      <c r="S9" s="163"/>
      <c r="T9" s="163"/>
      <c r="U9" s="163"/>
      <c r="V9" s="163"/>
      <c r="IW9" s="444">
        <v>28</v>
      </c>
    </row>
    <row r="10" spans="1:257" s="1775" customFormat="1" ht="23.25" customHeight="1">
      <c r="A10" s="2743"/>
      <c r="B10" s="1087">
        <v>1</v>
      </c>
      <c r="C10" s="1087"/>
      <c r="D10" s="731"/>
      <c r="E10" s="729">
        <v>1</v>
      </c>
      <c r="F10" s="1466" t="str">
        <f>IF(ROIV_INFO_NAME="","",ROIV_INFO_NAME)</f>
        <v>ТМУП "ТТС"</v>
      </c>
      <c r="G10" s="1658" t="s">
        <v>30</v>
      </c>
      <c r="H10" s="1841"/>
      <c r="I10" s="1461"/>
      <c r="J10" s="749"/>
      <c r="K10" s="749"/>
      <c r="L10" s="305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448"/>
      <c r="O10" s="448"/>
      <c r="P10" s="437" t="str">
        <f t="array" ref="P10">IF(ISERROR(MATCH(MID(Q10,1,250),MID(note_ter,1,250),0)),"n","y")</f>
        <v>n</v>
      </c>
      <c r="Q10" s="448"/>
      <c r="R10" s="437"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087"/>
      <c r="T10" s="1087"/>
      <c r="U10" s="357"/>
      <c r="V10" s="1087"/>
      <c r="W10" s="1087"/>
      <c r="X10" s="1087"/>
      <c r="Y10" s="359"/>
      <c r="Z10" s="359"/>
      <c r="AA10" s="356"/>
      <c r="AB10" s="356"/>
      <c r="AC10" s="356"/>
      <c r="AD10" s="356"/>
      <c r="AE10" s="356"/>
      <c r="AF10" s="356"/>
      <c r="AG10" s="356"/>
      <c r="AH10" s="356"/>
      <c r="AI10" s="356"/>
      <c r="AJ10" s="356"/>
      <c r="AK10" s="356"/>
      <c r="AL10" s="356"/>
      <c r="AM10" s="356"/>
      <c r="AN10" s="356"/>
      <c r="AO10" s="356"/>
      <c r="AP10" s="356"/>
      <c r="AQ10" s="356"/>
      <c r="AR10" s="356"/>
      <c r="AS10" s="356"/>
      <c r="AT10" s="356"/>
      <c r="AU10" s="356"/>
      <c r="AV10" s="356"/>
      <c r="AW10" s="356"/>
      <c r="AX10" s="356"/>
      <c r="AY10" s="356"/>
      <c r="AZ10" s="356"/>
      <c r="BA10" s="356"/>
      <c r="BB10" s="356"/>
      <c r="BC10" s="356"/>
      <c r="BD10" s="356"/>
      <c r="BE10" s="356"/>
      <c r="BF10" s="356"/>
      <c r="BG10" s="356"/>
      <c r="BH10" s="356"/>
      <c r="BI10" s="356"/>
      <c r="BJ10" s="356"/>
      <c r="BK10" s="356"/>
      <c r="BL10" s="356"/>
      <c r="BM10" s="356"/>
      <c r="BN10" s="356"/>
      <c r="BO10" s="356"/>
      <c r="BP10" s="356"/>
      <c r="BQ10" s="356"/>
      <c r="BR10" s="356"/>
      <c r="BS10" s="356"/>
      <c r="BT10" s="356"/>
      <c r="BU10" s="356"/>
      <c r="BV10" s="359"/>
      <c r="BW10" s="359"/>
      <c r="BX10" s="359"/>
      <c r="BY10" s="359"/>
      <c r="BZ10" s="359"/>
      <c r="CA10" s="359"/>
      <c r="CB10" s="359"/>
      <c r="CC10" s="359"/>
      <c r="CD10" s="359"/>
      <c r="CE10" s="359"/>
      <c r="IW10" s="360">
        <v>22</v>
      </c>
    </row>
    <row r="11" spans="1:257" s="1775" customFormat="1" ht="15.75" customHeight="1">
      <c r="A11" s="2743"/>
      <c r="B11" s="1087"/>
      <c r="C11" s="349"/>
      <c r="D11" s="732"/>
      <c r="E11" s="358"/>
      <c r="F11" s="353" t="s">
        <v>1922</v>
      </c>
      <c r="G11" s="125"/>
      <c r="H11" s="125"/>
      <c r="I11" s="125"/>
      <c r="J11" s="125"/>
      <c r="K11" s="361"/>
      <c r="L11" s="3069"/>
      <c r="M11" s="1463"/>
      <c r="N11" s="448"/>
      <c r="O11" s="448"/>
      <c r="P11" s="448"/>
      <c r="Q11" s="437"/>
      <c r="R11" s="448"/>
      <c r="S11" s="1087"/>
      <c r="T11" s="1087"/>
      <c r="U11" s="357"/>
      <c r="V11" s="1087"/>
      <c r="W11" s="1087"/>
      <c r="X11" s="1087"/>
      <c r="Y11" s="359"/>
      <c r="Z11" s="359"/>
      <c r="AA11" s="356"/>
      <c r="AB11" s="356"/>
      <c r="AC11" s="356"/>
      <c r="AD11" s="356"/>
      <c r="AE11" s="356"/>
      <c r="AF11" s="356"/>
      <c r="AG11" s="356"/>
      <c r="AH11" s="356"/>
      <c r="AI11" s="356"/>
      <c r="AJ11" s="356"/>
      <c r="AK11" s="356"/>
      <c r="AL11" s="356"/>
      <c r="AM11" s="356"/>
      <c r="AN11" s="356"/>
      <c r="AO11" s="356"/>
      <c r="AP11" s="356"/>
      <c r="AQ11" s="356"/>
      <c r="AR11" s="356"/>
      <c r="AS11" s="356"/>
      <c r="AT11" s="356"/>
      <c r="AU11" s="356"/>
      <c r="AV11" s="356"/>
      <c r="AW11" s="356"/>
      <c r="AX11" s="356"/>
      <c r="AY11" s="356"/>
      <c r="AZ11" s="356"/>
      <c r="BA11" s="356"/>
      <c r="BB11" s="356"/>
      <c r="BC11" s="356"/>
      <c r="BD11" s="356"/>
      <c r="BE11" s="356"/>
      <c r="BF11" s="356"/>
      <c r="BG11" s="356"/>
      <c r="BH11" s="356"/>
      <c r="BI11" s="356"/>
      <c r="BJ11" s="356"/>
      <c r="BK11" s="356"/>
      <c r="BL11" s="356"/>
      <c r="BM11" s="356"/>
      <c r="BN11" s="356"/>
      <c r="BO11" s="356"/>
      <c r="BP11" s="356"/>
      <c r="BQ11" s="356"/>
      <c r="BR11" s="356"/>
      <c r="BS11" s="356"/>
      <c r="BT11" s="356"/>
      <c r="BU11" s="356"/>
      <c r="BV11" s="359"/>
      <c r="BW11" s="359"/>
      <c r="BX11" s="359"/>
      <c r="BY11" s="359"/>
      <c r="BZ11" s="359"/>
      <c r="CA11" s="359"/>
      <c r="CB11" s="359"/>
      <c r="CC11" s="359"/>
      <c r="CD11" s="359"/>
      <c r="CE11" s="359"/>
      <c r="IW11" s="360">
        <v>15</v>
      </c>
    </row>
    <row r="12" spans="1:257" s="1745" customFormat="1" ht="21.75" customHeight="1">
      <c r="A12" s="1082"/>
      <c r="B12" s="1087"/>
      <c r="C12" s="1082"/>
      <c r="D12" s="388"/>
      <c r="E12" s="118"/>
      <c r="F12" s="118"/>
      <c r="G12" s="118"/>
      <c r="H12" s="118"/>
      <c r="I12" s="118"/>
      <c r="J12" s="118"/>
      <c r="K12" s="118"/>
      <c r="L12" s="118"/>
      <c r="M12" s="437"/>
      <c r="N12" s="437"/>
      <c r="O12" s="437"/>
      <c r="P12" s="437"/>
      <c r="Q12" s="164"/>
      <c r="R12" s="437"/>
      <c r="S12" s="163"/>
      <c r="T12" s="163"/>
      <c r="U12" s="163"/>
      <c r="V12" s="163"/>
      <c r="IW12" s="444">
        <v>21</v>
      </c>
    </row>
    <row r="13" spans="1:257" s="1745" customFormat="1" ht="15" customHeight="1">
      <c r="A13" s="1082"/>
      <c r="B13" s="1087"/>
      <c r="C13" s="1082"/>
      <c r="D13" s="388"/>
      <c r="E13" s="1082"/>
      <c r="F13" s="1082"/>
      <c r="G13" s="1082"/>
      <c r="H13" s="1082"/>
      <c r="I13" s="1082"/>
      <c r="J13" s="1082"/>
      <c r="K13" s="1082"/>
      <c r="L13" s="1082"/>
      <c r="M13" s="437"/>
      <c r="N13" s="437"/>
      <c r="O13" s="437"/>
      <c r="P13" s="437"/>
      <c r="Q13" s="164"/>
      <c r="R13" s="437"/>
      <c r="S13" s="163"/>
      <c r="T13" s="163"/>
      <c r="U13" s="163"/>
      <c r="V13" s="163"/>
      <c r="IW13" s="444">
        <v>14</v>
      </c>
    </row>
    <row r="14" spans="1:257" s="1745" customFormat="1" ht="0.75" customHeight="1">
      <c r="A14" s="1082"/>
      <c r="B14" s="1087"/>
      <c r="C14" s="1082"/>
      <c r="D14" s="388"/>
      <c r="E14" s="1082"/>
      <c r="F14" s="1082"/>
      <c r="G14" s="1082"/>
      <c r="H14" s="1082"/>
      <c r="I14" s="1082"/>
      <c r="J14" s="1082"/>
      <c r="K14" s="1082"/>
      <c r="L14" s="1082"/>
      <c r="M14" s="437"/>
      <c r="N14" s="437"/>
      <c r="O14" s="437"/>
      <c r="P14" s="437"/>
      <c r="Q14" s="164"/>
      <c r="R14" s="437"/>
      <c r="S14" s="163"/>
      <c r="T14" s="163"/>
      <c r="U14" s="163"/>
      <c r="V14" s="163"/>
      <c r="IW14" s="444">
        <v>1</v>
      </c>
    </row>
    <row r="15" spans="1:257" ht="22.5" hidden="1" customHeight="1">
      <c r="A15" s="1082" t="s">
        <v>87</v>
      </c>
      <c r="B15" s="1087">
        <v>0</v>
      </c>
      <c r="C15" s="1082">
        <v>0</v>
      </c>
      <c r="D15" s="388">
        <v>3</v>
      </c>
      <c r="E15" s="1082">
        <v>6</v>
      </c>
      <c r="F15" s="1082">
        <v>27</v>
      </c>
      <c r="G15" s="1082">
        <v>16</v>
      </c>
      <c r="H15" s="1082">
        <v>12</v>
      </c>
      <c r="I15" s="1082">
        <v>32</v>
      </c>
      <c r="J15" s="1082">
        <v>41</v>
      </c>
      <c r="K15" s="1082">
        <v>41</v>
      </c>
      <c r="L15" s="1082">
        <v>89</v>
      </c>
      <c r="M15" s="437">
        <v>3</v>
      </c>
      <c r="N15" s="437">
        <v>8</v>
      </c>
      <c r="O15" s="437">
        <v>8</v>
      </c>
      <c r="P15" s="437">
        <v>8</v>
      </c>
      <c r="Q15" s="164">
        <v>25</v>
      </c>
      <c r="R15" s="437">
        <v>14</v>
      </c>
      <c r="S15" s="163">
        <v>8</v>
      </c>
      <c r="T15" s="163">
        <v>8</v>
      </c>
      <c r="U15" s="163">
        <v>8</v>
      </c>
      <c r="V15" s="163">
        <v>8</v>
      </c>
      <c r="W15" s="1082">
        <v>8</v>
      </c>
      <c r="X15" s="1082">
        <v>8</v>
      </c>
      <c r="Y15" s="1082">
        <v>8</v>
      </c>
      <c r="Z15" s="1082">
        <v>8</v>
      </c>
      <c r="AA15" s="1082">
        <v>8</v>
      </c>
      <c r="AB15" s="1082">
        <v>8</v>
      </c>
      <c r="AC15" s="1082">
        <v>8</v>
      </c>
      <c r="AD15" s="1082">
        <v>8</v>
      </c>
      <c r="AE15" s="1082">
        <v>8</v>
      </c>
      <c r="AF15" s="1082">
        <v>8</v>
      </c>
      <c r="AG15" s="1082">
        <v>8</v>
      </c>
      <c r="AH15" s="1082">
        <v>8</v>
      </c>
      <c r="AI15" s="1082">
        <v>8</v>
      </c>
      <c r="AJ15" s="1082">
        <v>8</v>
      </c>
      <c r="AK15" s="1082">
        <v>8</v>
      </c>
      <c r="AL15" s="1082">
        <v>8</v>
      </c>
      <c r="AM15" s="1082">
        <v>8</v>
      </c>
      <c r="AN15" s="1082">
        <v>8</v>
      </c>
      <c r="AO15" s="1082">
        <v>8</v>
      </c>
      <c r="AP15" s="1082">
        <v>8</v>
      </c>
      <c r="AQ15" s="1082">
        <v>8</v>
      </c>
      <c r="AR15" s="1082">
        <v>8</v>
      </c>
      <c r="AS15" s="1082">
        <v>8</v>
      </c>
      <c r="AT15" s="1082">
        <v>8</v>
      </c>
      <c r="AU15" s="1082">
        <v>8</v>
      </c>
      <c r="AV15" s="1082">
        <v>8</v>
      </c>
      <c r="AW15" s="1082">
        <v>8</v>
      </c>
      <c r="AX15" s="1082">
        <v>8</v>
      </c>
      <c r="AY15" s="1082">
        <v>8</v>
      </c>
      <c r="AZ15" s="1082">
        <v>8</v>
      </c>
      <c r="BA15" s="1082">
        <v>8</v>
      </c>
      <c r="BB15" s="1082">
        <v>8</v>
      </c>
      <c r="BC15" s="1082">
        <v>8</v>
      </c>
      <c r="BD15" s="1082">
        <v>8</v>
      </c>
      <c r="BE15" s="1082">
        <v>8</v>
      </c>
      <c r="BF15" s="1082">
        <v>8</v>
      </c>
      <c r="BG15" s="1082">
        <v>8</v>
      </c>
      <c r="BH15" s="1082">
        <v>8</v>
      </c>
      <c r="BI15" s="1082">
        <v>8</v>
      </c>
      <c r="BJ15" s="1082">
        <v>8</v>
      </c>
      <c r="BK15" s="1082">
        <v>8</v>
      </c>
      <c r="BL15" s="1082">
        <v>8</v>
      </c>
      <c r="BM15" s="1082">
        <v>8</v>
      </c>
      <c r="BN15" s="1082">
        <v>8</v>
      </c>
      <c r="BO15" s="1082">
        <v>8</v>
      </c>
      <c r="BP15" s="1082">
        <v>8</v>
      </c>
      <c r="BQ15" s="1082">
        <v>8</v>
      </c>
      <c r="BR15" s="1082">
        <v>8</v>
      </c>
      <c r="BS15" s="1082">
        <v>8</v>
      </c>
      <c r="BT15" s="1082">
        <v>8</v>
      </c>
      <c r="BU15" s="1082">
        <v>8</v>
      </c>
      <c r="BV15" s="1082">
        <v>8</v>
      </c>
      <c r="BW15" s="1082">
        <v>8</v>
      </c>
      <c r="BX15" s="1082">
        <v>8</v>
      </c>
      <c r="BY15" s="1082">
        <v>8</v>
      </c>
      <c r="BZ15" s="1082">
        <v>8</v>
      </c>
      <c r="CA15" s="1082">
        <v>8</v>
      </c>
      <c r="CB15" s="1082">
        <v>8</v>
      </c>
      <c r="CC15" s="1082">
        <v>8</v>
      </c>
      <c r="CD15" s="1082">
        <v>8</v>
      </c>
      <c r="CE15" s="1082">
        <v>8</v>
      </c>
      <c r="CF15" s="1082">
        <v>8</v>
      </c>
      <c r="CG15" s="1082">
        <v>8</v>
      </c>
      <c r="CH15" s="1082">
        <v>8</v>
      </c>
      <c r="CI15" s="1082">
        <v>8</v>
      </c>
      <c r="CJ15" s="1082">
        <v>8</v>
      </c>
      <c r="CK15" s="1082">
        <v>8</v>
      </c>
      <c r="CL15" s="1082">
        <v>8</v>
      </c>
      <c r="CM15" s="1082">
        <v>8</v>
      </c>
      <c r="CN15" s="1082">
        <v>8</v>
      </c>
      <c r="CO15" s="1082">
        <v>8</v>
      </c>
      <c r="CP15" s="1082">
        <v>8</v>
      </c>
      <c r="CQ15" s="1082">
        <v>8</v>
      </c>
      <c r="CR15" s="1082">
        <v>8</v>
      </c>
      <c r="CS15" s="1082">
        <v>8</v>
      </c>
      <c r="CT15" s="1082">
        <v>8</v>
      </c>
      <c r="CU15" s="1082">
        <v>8</v>
      </c>
      <c r="CV15" s="1082">
        <v>8</v>
      </c>
      <c r="CW15" s="1082">
        <v>8</v>
      </c>
      <c r="CX15" s="1082">
        <v>8</v>
      </c>
      <c r="CY15" s="1082">
        <v>8</v>
      </c>
      <c r="CZ15" s="1082">
        <v>8</v>
      </c>
      <c r="DA15" s="1082">
        <v>8</v>
      </c>
      <c r="DB15" s="1082">
        <v>8</v>
      </c>
      <c r="DC15" s="1082">
        <v>8</v>
      </c>
      <c r="DD15" s="1082">
        <v>8</v>
      </c>
      <c r="DE15" s="1082">
        <v>8</v>
      </c>
      <c r="DF15" s="1082">
        <v>8</v>
      </c>
      <c r="DG15" s="1082">
        <v>8</v>
      </c>
      <c r="DH15" s="1082">
        <v>8</v>
      </c>
      <c r="DI15" s="1082">
        <v>8</v>
      </c>
      <c r="DJ15" s="1082">
        <v>8</v>
      </c>
      <c r="DK15" s="1082">
        <v>8</v>
      </c>
      <c r="DL15" s="1082">
        <v>8</v>
      </c>
      <c r="DM15" s="1082">
        <v>8</v>
      </c>
      <c r="DN15" s="1082">
        <v>8</v>
      </c>
      <c r="DO15" s="1082">
        <v>8</v>
      </c>
      <c r="DP15" s="1082">
        <v>8</v>
      </c>
      <c r="DQ15" s="1082">
        <v>8</v>
      </c>
      <c r="DR15" s="1082">
        <v>8</v>
      </c>
      <c r="DS15" s="1082">
        <v>8</v>
      </c>
      <c r="DT15" s="1082">
        <v>8</v>
      </c>
      <c r="DU15" s="1082">
        <v>8</v>
      </c>
      <c r="DV15" s="1082">
        <v>8</v>
      </c>
      <c r="DW15" s="1082">
        <v>8</v>
      </c>
      <c r="DX15" s="1082">
        <v>8</v>
      </c>
      <c r="DY15" s="1082">
        <v>8</v>
      </c>
      <c r="DZ15" s="1082">
        <v>8</v>
      </c>
      <c r="EA15" s="1082">
        <v>8</v>
      </c>
      <c r="EB15" s="1082">
        <v>8</v>
      </c>
      <c r="EC15" s="1082">
        <v>8</v>
      </c>
      <c r="ED15" s="1082">
        <v>8</v>
      </c>
      <c r="EE15" s="1082">
        <v>8</v>
      </c>
      <c r="EF15" s="1082">
        <v>8</v>
      </c>
      <c r="EG15" s="1082">
        <v>8</v>
      </c>
      <c r="EH15" s="1082">
        <v>8</v>
      </c>
      <c r="EI15" s="1082">
        <v>8</v>
      </c>
      <c r="EJ15" s="1082">
        <v>8</v>
      </c>
      <c r="EK15" s="1082">
        <v>8</v>
      </c>
      <c r="EL15" s="1082">
        <v>8</v>
      </c>
      <c r="EM15" s="1082">
        <v>8</v>
      </c>
      <c r="EN15" s="1082">
        <v>8</v>
      </c>
      <c r="EO15" s="1082">
        <v>8</v>
      </c>
      <c r="EP15" s="1082">
        <v>8</v>
      </c>
      <c r="EQ15" s="1082">
        <v>8</v>
      </c>
      <c r="ER15" s="1082">
        <v>8</v>
      </c>
      <c r="ES15" s="1082">
        <v>8</v>
      </c>
      <c r="ET15" s="1082">
        <v>8</v>
      </c>
      <c r="EU15" s="1082">
        <v>8</v>
      </c>
      <c r="EV15" s="1082">
        <v>8</v>
      </c>
      <c r="EW15" s="1082">
        <v>8</v>
      </c>
      <c r="EX15" s="1082">
        <v>8</v>
      </c>
      <c r="EY15" s="1082">
        <v>8</v>
      </c>
      <c r="EZ15" s="1082">
        <v>8</v>
      </c>
      <c r="FA15" s="1082">
        <v>8</v>
      </c>
      <c r="FB15" s="1082">
        <v>8</v>
      </c>
      <c r="FC15" s="1082">
        <v>8</v>
      </c>
      <c r="FD15" s="1082">
        <v>8</v>
      </c>
      <c r="FE15" s="1082">
        <v>8</v>
      </c>
      <c r="FF15" s="1082">
        <v>8</v>
      </c>
      <c r="FG15" s="1082">
        <v>8</v>
      </c>
      <c r="FH15" s="1082">
        <v>8</v>
      </c>
      <c r="FI15" s="1082">
        <v>8</v>
      </c>
      <c r="FJ15" s="1082">
        <v>8</v>
      </c>
      <c r="FK15" s="1082">
        <v>8</v>
      </c>
      <c r="FL15" s="1082">
        <v>8</v>
      </c>
      <c r="FM15" s="1082">
        <v>8</v>
      </c>
      <c r="FN15" s="1082">
        <v>8</v>
      </c>
      <c r="FO15" s="1082">
        <v>8</v>
      </c>
      <c r="FP15" s="1082">
        <v>8</v>
      </c>
      <c r="FQ15" s="1082">
        <v>8</v>
      </c>
      <c r="FR15" s="1082">
        <v>8</v>
      </c>
      <c r="FS15" s="1082">
        <v>8</v>
      </c>
      <c r="FT15" s="1082">
        <v>8</v>
      </c>
      <c r="FU15" s="1082">
        <v>8</v>
      </c>
      <c r="FV15" s="1082">
        <v>8</v>
      </c>
      <c r="FW15" s="1082">
        <v>8</v>
      </c>
      <c r="FX15" s="1082">
        <v>8</v>
      </c>
      <c r="FY15" s="1082">
        <v>8</v>
      </c>
      <c r="FZ15" s="1082">
        <v>8</v>
      </c>
      <c r="GA15" s="1082">
        <v>8</v>
      </c>
      <c r="GB15" s="1082">
        <v>8</v>
      </c>
      <c r="GC15" s="1082">
        <v>8</v>
      </c>
      <c r="GD15" s="1082">
        <v>8</v>
      </c>
      <c r="GE15" s="1082">
        <v>8</v>
      </c>
      <c r="GF15" s="1082">
        <v>8</v>
      </c>
      <c r="GG15" s="1082">
        <v>8</v>
      </c>
      <c r="GH15" s="1082">
        <v>8</v>
      </c>
      <c r="GI15" s="1082">
        <v>8</v>
      </c>
      <c r="GJ15" s="1082">
        <v>8</v>
      </c>
      <c r="GK15" s="1082">
        <v>8</v>
      </c>
      <c r="GL15" s="1082">
        <v>8</v>
      </c>
      <c r="GM15" s="1082">
        <v>8</v>
      </c>
      <c r="GN15" s="1082">
        <v>8</v>
      </c>
      <c r="GO15" s="1082">
        <v>8</v>
      </c>
      <c r="GP15" s="1082">
        <v>8</v>
      </c>
      <c r="GQ15" s="1082">
        <v>8</v>
      </c>
      <c r="GR15" s="1082">
        <v>8</v>
      </c>
      <c r="GS15" s="1082">
        <v>8</v>
      </c>
      <c r="GT15" s="1082">
        <v>8</v>
      </c>
      <c r="GU15" s="1082">
        <v>8</v>
      </c>
      <c r="GV15" s="1082">
        <v>8</v>
      </c>
      <c r="GW15" s="1082">
        <v>8</v>
      </c>
      <c r="GX15" s="1082">
        <v>8</v>
      </c>
      <c r="GY15" s="1082">
        <v>8</v>
      </c>
      <c r="GZ15" s="1082">
        <v>8</v>
      </c>
      <c r="HA15" s="1082">
        <v>8</v>
      </c>
      <c r="HB15" s="1082">
        <v>8</v>
      </c>
      <c r="HC15" s="1082">
        <v>8</v>
      </c>
      <c r="HD15" s="1082">
        <v>8</v>
      </c>
      <c r="HE15" s="1082">
        <v>8</v>
      </c>
      <c r="HF15" s="1082">
        <v>8</v>
      </c>
      <c r="HG15" s="1082">
        <v>8</v>
      </c>
      <c r="HH15" s="1082">
        <v>8</v>
      </c>
      <c r="HI15" s="1082">
        <v>8</v>
      </c>
      <c r="HJ15" s="1082">
        <v>8</v>
      </c>
      <c r="HK15" s="1082">
        <v>8</v>
      </c>
      <c r="HL15" s="1082">
        <v>8</v>
      </c>
      <c r="HM15" s="1082">
        <v>8</v>
      </c>
      <c r="HN15" s="1082">
        <v>8</v>
      </c>
      <c r="HO15" s="1082">
        <v>8</v>
      </c>
      <c r="HP15" s="1082">
        <v>8</v>
      </c>
      <c r="HQ15" s="1082">
        <v>8</v>
      </c>
      <c r="HR15" s="1082">
        <v>8</v>
      </c>
      <c r="HS15" s="1082">
        <v>8</v>
      </c>
      <c r="HT15" s="1082">
        <v>8</v>
      </c>
      <c r="HU15" s="1082">
        <v>8</v>
      </c>
      <c r="HV15" s="1082">
        <v>8</v>
      </c>
      <c r="HW15" s="1082">
        <v>8</v>
      </c>
      <c r="HX15" s="1082">
        <v>8</v>
      </c>
      <c r="HY15" s="1082">
        <v>8</v>
      </c>
      <c r="HZ15" s="1082">
        <v>8</v>
      </c>
      <c r="IA15" s="1082">
        <v>8</v>
      </c>
      <c r="IB15" s="1082">
        <v>8</v>
      </c>
      <c r="IC15" s="1082">
        <v>8</v>
      </c>
      <c r="ID15" s="1082">
        <v>8</v>
      </c>
      <c r="IE15" s="1082">
        <v>8</v>
      </c>
      <c r="IF15" s="1082">
        <v>8</v>
      </c>
      <c r="IG15" s="1082">
        <v>8</v>
      </c>
      <c r="IH15" s="1082">
        <v>8</v>
      </c>
      <c r="II15" s="1082">
        <v>8</v>
      </c>
      <c r="IJ15" s="1082">
        <v>8</v>
      </c>
      <c r="IK15" s="1082">
        <v>8</v>
      </c>
      <c r="IL15" s="1082">
        <v>8</v>
      </c>
      <c r="IM15" s="1082">
        <v>8</v>
      </c>
      <c r="IN15" s="1082">
        <v>8</v>
      </c>
      <c r="IO15" s="1082">
        <v>8</v>
      </c>
      <c r="IP15" s="1082">
        <v>8</v>
      </c>
      <c r="IQ15" s="1082">
        <v>8</v>
      </c>
      <c r="IR15" s="1082">
        <v>8</v>
      </c>
      <c r="IS15" s="1082">
        <v>8</v>
      </c>
      <c r="IT15" s="1082">
        <v>8</v>
      </c>
      <c r="IU15" s="1082">
        <v>8</v>
      </c>
      <c r="IV15" s="1082">
        <v>8</v>
      </c>
      <c r="IW15" s="1082">
        <v>23</v>
      </c>
    </row>
  </sheetData>
  <sheetProtection formatColumns="0" formatRows="0" insertRows="0" deleteColumns="0" deleteRows="0" sort="0" autoFilter="0"/>
  <mergeCells count="10">
    <mergeCell ref="L7:L9"/>
    <mergeCell ref="E7:K7"/>
    <mergeCell ref="A10:A11"/>
    <mergeCell ref="L10:L11"/>
    <mergeCell ref="E5:K5"/>
    <mergeCell ref="F8:F9"/>
    <mergeCell ref="E8:E9"/>
    <mergeCell ref="G8:I8"/>
    <mergeCell ref="J8:J9"/>
    <mergeCell ref="K8:K9"/>
  </mergeCells>
  <dataValidations count="5">
    <dataValidation type="textLength" operator="lessThanOrEqual" allowBlank="1" showInputMessage="1" showErrorMessage="1" sqref="I10 I2">
      <formula1>990</formula1>
    </dataValidation>
    <dataValidation type="time" allowBlank="1" showInputMessage="1" showErrorMessage="1" prompt="Укажите время в формате ЧЧ:ММ" sqref="H10 H2">
      <formula1>0</formula1>
      <formula2>0.999305555555555</formula2>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10:K10 J2:K3">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G10"/>
    <dataValidation type="textLength" allowBlank="1" showInputMessage="1" showErrorMessage="1" sqref="H3:I3">
      <formula1>13</formula1>
      <formula2>15</formula2>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15"/>
  <sheetViews>
    <sheetView showGridLines="0" zoomScale="90" workbookViewId="0">
      <pane xSplit="6" ySplit="9" topLeftCell="G10" activePane="bottomRight" state="frozen"/>
      <selection pane="topRight" activeCell="G1" sqref="G1"/>
      <selection pane="bottomLeft" activeCell="A10" sqref="A10"/>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16" style="1562" customWidth="1"/>
    <col min="8" max="8" width="12" style="1562" customWidth="1"/>
    <col min="9" max="9" width="32" style="1562" customWidth="1"/>
    <col min="10" max="11" width="41" style="1562" customWidth="1"/>
    <col min="12" max="12" width="89" style="1562" customWidth="1"/>
    <col min="13" max="13" width="3" style="1551" customWidth="1"/>
    <col min="14" max="16" width="8" style="1551" customWidth="1"/>
    <col min="17" max="17" width="25" style="1551" customWidth="1"/>
    <col min="18" max="18" width="14" style="1551" customWidth="1"/>
    <col min="19" max="22" width="8" style="163" customWidth="1"/>
    <col min="23" max="256" width="8" style="1562" customWidth="1"/>
    <col min="257" max="257" width="9.140625" style="1562" hidden="1"/>
  </cols>
  <sheetData>
    <row r="1" spans="1:257" ht="22.5" hidden="1" customHeight="1">
      <c r="IW1" s="1558" t="s">
        <v>14</v>
      </c>
    </row>
    <row r="2" spans="1:257" s="1775" customFormat="1" ht="22.5" hidden="1" customHeight="1">
      <c r="A2" s="762"/>
      <c r="B2" s="1293">
        <v>1</v>
      </c>
      <c r="C2" s="1293"/>
      <c r="D2" s="1850" t="s">
        <v>179</v>
      </c>
      <c r="E2" s="1829"/>
      <c r="F2" s="1831" t="str">
        <f>IF(ROIV_INFO_NAME="","",ROIV_INFO_NAME)</f>
        <v>ТМУП "ТТС"</v>
      </c>
      <c r="G2" s="1658" t="s">
        <v>30</v>
      </c>
      <c r="H2" s="1841"/>
      <c r="I2" s="1465"/>
      <c r="J2" s="749"/>
      <c r="K2" s="749"/>
      <c r="L2" s="166"/>
      <c r="M2" s="1462" t="e">
        <f ca="1">MERGEVALUE(F2)</f>
        <v>#NAME?</v>
      </c>
      <c r="N2" s="1563"/>
      <c r="O2" s="1563"/>
      <c r="P2" s="1551" t="str">
        <f t="array" ref="P2">IF(ISERROR(MATCH(MID(Q2,1,250),MID(note_ter,1,250),0)),"n","y")</f>
        <v>n</v>
      </c>
      <c r="Q2" s="1563"/>
      <c r="R2" s="1551" t="str">
        <f>G2&amp;"("&amp;L2&amp;")"</f>
        <v>()</v>
      </c>
      <c r="S2" s="1293"/>
      <c r="T2" s="1293"/>
      <c r="U2" s="357"/>
      <c r="V2" s="1293"/>
      <c r="W2" s="1293"/>
      <c r="X2" s="1293"/>
      <c r="Y2" s="764"/>
      <c r="Z2" s="764"/>
      <c r="AA2" s="564"/>
      <c r="AB2" s="564"/>
      <c r="AC2" s="564"/>
      <c r="AD2" s="564"/>
      <c r="AE2" s="564"/>
      <c r="AF2" s="564"/>
      <c r="AG2" s="564"/>
      <c r="AH2" s="564"/>
      <c r="AI2" s="564"/>
      <c r="AJ2" s="564"/>
      <c r="AK2" s="564"/>
      <c r="AL2" s="564"/>
      <c r="AM2" s="564"/>
      <c r="AN2" s="564"/>
      <c r="AO2" s="564"/>
      <c r="AP2" s="564"/>
      <c r="AQ2" s="564"/>
      <c r="AR2" s="564"/>
      <c r="AS2" s="564"/>
      <c r="AT2" s="564"/>
      <c r="AU2" s="564"/>
      <c r="AV2" s="564"/>
      <c r="AW2" s="564"/>
      <c r="AX2" s="564"/>
      <c r="AY2" s="564"/>
      <c r="AZ2" s="564"/>
      <c r="BA2" s="564"/>
      <c r="BB2" s="564"/>
      <c r="BC2" s="564"/>
      <c r="BD2" s="564"/>
      <c r="BE2" s="564"/>
      <c r="BF2" s="564"/>
      <c r="BG2" s="564"/>
      <c r="BH2" s="564"/>
      <c r="BI2" s="564"/>
      <c r="BJ2" s="564"/>
      <c r="BK2" s="564"/>
      <c r="BL2" s="564"/>
      <c r="BM2" s="564"/>
      <c r="BN2" s="564"/>
      <c r="BO2" s="564"/>
      <c r="BP2" s="564"/>
      <c r="BQ2" s="564"/>
      <c r="BR2" s="564"/>
      <c r="BS2" s="564"/>
      <c r="BT2" s="564"/>
      <c r="BU2" s="564"/>
      <c r="BV2" s="764"/>
      <c r="BW2" s="764"/>
      <c r="BX2" s="764"/>
      <c r="BY2" s="764"/>
      <c r="BZ2" s="764"/>
      <c r="CA2" s="764"/>
      <c r="CB2" s="764"/>
      <c r="CC2" s="764"/>
      <c r="CD2" s="764"/>
      <c r="CE2" s="764"/>
      <c r="IW2" s="561">
        <v>0</v>
      </c>
    </row>
    <row r="3" spans="1:257" s="1569" customFormat="1" ht="5.25" hidden="1" customHeight="1">
      <c r="A3" s="1568"/>
      <c r="D3" s="1818"/>
      <c r="F3" s="186" t="s">
        <v>88</v>
      </c>
      <c r="G3" s="1661" t="s">
        <v>89</v>
      </c>
      <c r="H3" s="1818"/>
      <c r="I3" s="1818"/>
      <c r="J3" s="1818"/>
      <c r="K3" s="1818"/>
      <c r="L3" s="165" t="s">
        <v>90</v>
      </c>
      <c r="M3" s="186" t="s">
        <v>88</v>
      </c>
      <c r="N3" s="186"/>
      <c r="O3" s="186"/>
      <c r="P3" s="186"/>
      <c r="Q3" s="186"/>
      <c r="R3" s="186"/>
      <c r="S3" s="186"/>
      <c r="T3" s="186"/>
      <c r="U3" s="186"/>
      <c r="V3" s="186"/>
      <c r="W3" s="165"/>
      <c r="X3" s="165"/>
      <c r="Y3" s="165"/>
      <c r="Z3" s="165"/>
      <c r="AA3" s="165"/>
      <c r="AB3" s="165"/>
      <c r="AC3" s="165"/>
      <c r="AD3" s="165"/>
      <c r="AE3" s="165"/>
      <c r="AF3" s="165"/>
      <c r="AG3" s="165"/>
      <c r="AH3" s="165"/>
      <c r="AI3" s="165"/>
      <c r="AJ3" s="165"/>
      <c r="AK3" s="165"/>
      <c r="AL3" s="165"/>
      <c r="AM3" s="165"/>
      <c r="AN3" s="165"/>
      <c r="AO3" s="165"/>
      <c r="AP3" s="165"/>
      <c r="AQ3" s="165"/>
      <c r="AR3" s="165"/>
      <c r="AS3" s="165"/>
      <c r="AT3" s="165"/>
      <c r="AU3" s="165"/>
      <c r="AV3" s="165"/>
      <c r="AW3" s="165"/>
      <c r="AX3" s="165"/>
      <c r="AY3" s="165"/>
      <c r="AZ3" s="165"/>
      <c r="BA3" s="165"/>
      <c r="BB3" s="165"/>
      <c r="BC3" s="165"/>
      <c r="BD3" s="165"/>
      <c r="BE3" s="165"/>
      <c r="BF3" s="165"/>
      <c r="BG3" s="165"/>
      <c r="BH3" s="165"/>
      <c r="BI3" s="165"/>
      <c r="BJ3" s="165"/>
      <c r="BK3" s="165"/>
      <c r="BL3" s="165"/>
      <c r="BM3" s="165"/>
      <c r="BN3" s="165"/>
      <c r="BO3" s="165"/>
      <c r="BP3" s="165"/>
      <c r="BQ3" s="165"/>
      <c r="BR3" s="165"/>
      <c r="BS3" s="165"/>
      <c r="BT3" s="165"/>
      <c r="BU3" s="165"/>
      <c r="BV3" s="165"/>
      <c r="BW3" s="165"/>
      <c r="BX3" s="165"/>
      <c r="BY3" s="165"/>
      <c r="BZ3" s="165"/>
      <c r="CA3" s="165"/>
      <c r="CB3" s="165"/>
      <c r="CC3" s="165"/>
      <c r="CD3" s="165"/>
      <c r="CE3" s="165"/>
      <c r="CF3" s="165"/>
      <c r="CG3" s="165"/>
      <c r="CH3" s="165"/>
      <c r="CI3" s="165"/>
      <c r="CJ3" s="165"/>
      <c r="CK3" s="165"/>
      <c r="CL3" s="165"/>
      <c r="CM3" s="165"/>
      <c r="CN3" s="165"/>
      <c r="CO3" s="165"/>
      <c r="CP3" s="165"/>
      <c r="CQ3" s="165"/>
      <c r="CR3" s="165"/>
      <c r="CS3" s="165"/>
      <c r="CT3" s="165"/>
      <c r="CU3" s="165"/>
      <c r="CV3" s="165"/>
      <c r="CW3" s="165"/>
      <c r="CX3" s="165"/>
      <c r="CY3" s="165"/>
      <c r="CZ3" s="165"/>
      <c r="DA3" s="165"/>
      <c r="DB3" s="165"/>
      <c r="DC3" s="165"/>
      <c r="DD3" s="165"/>
      <c r="DE3" s="165"/>
      <c r="DF3" s="165"/>
      <c r="DG3" s="165"/>
      <c r="DH3" s="165"/>
      <c r="DI3" s="165"/>
      <c r="DJ3" s="165"/>
      <c r="DK3" s="165"/>
      <c r="DL3" s="165"/>
      <c r="DM3" s="165"/>
      <c r="DN3" s="165"/>
      <c r="DO3" s="165"/>
      <c r="DP3" s="165"/>
      <c r="DQ3" s="165"/>
      <c r="DR3" s="165"/>
      <c r="DS3" s="165"/>
      <c r="DT3" s="165"/>
      <c r="DU3" s="165"/>
      <c r="DV3" s="165"/>
      <c r="DW3" s="165"/>
      <c r="DX3" s="165"/>
      <c r="DY3" s="165"/>
      <c r="DZ3" s="165"/>
      <c r="EA3" s="165"/>
      <c r="EB3" s="165"/>
      <c r="EC3" s="165"/>
      <c r="ED3" s="165"/>
      <c r="EE3" s="165"/>
      <c r="EF3" s="165"/>
      <c r="EG3" s="165"/>
      <c r="EH3" s="165"/>
      <c r="EI3" s="165"/>
      <c r="EJ3" s="165"/>
      <c r="EK3" s="165"/>
      <c r="EL3" s="165"/>
      <c r="EM3" s="165"/>
      <c r="EN3" s="165"/>
      <c r="EO3" s="165"/>
      <c r="EP3" s="165"/>
      <c r="EQ3" s="165"/>
      <c r="ER3" s="165"/>
      <c r="ES3" s="165"/>
      <c r="ET3" s="165"/>
      <c r="EU3" s="165"/>
      <c r="EV3" s="165"/>
      <c r="EW3" s="165"/>
      <c r="EX3" s="165"/>
      <c r="EY3" s="165"/>
      <c r="EZ3" s="165"/>
      <c r="FA3" s="165"/>
      <c r="FB3" s="165"/>
      <c r="FC3" s="165"/>
      <c r="FD3" s="165"/>
      <c r="FE3" s="165"/>
      <c r="FF3" s="165"/>
      <c r="FG3" s="165"/>
      <c r="FH3" s="165"/>
      <c r="FI3" s="165"/>
      <c r="FJ3" s="165"/>
      <c r="FK3" s="165"/>
      <c r="FL3" s="165"/>
      <c r="FM3" s="165"/>
      <c r="FN3" s="165"/>
      <c r="FO3" s="165"/>
      <c r="FP3" s="165"/>
      <c r="FQ3" s="165"/>
      <c r="FR3" s="165"/>
      <c r="FS3" s="165"/>
      <c r="FT3" s="165"/>
      <c r="FU3" s="165"/>
      <c r="FV3" s="165"/>
      <c r="FW3" s="165"/>
      <c r="FX3" s="165"/>
      <c r="FY3" s="165"/>
      <c r="FZ3" s="165"/>
      <c r="GA3" s="165"/>
      <c r="GB3" s="165"/>
      <c r="GC3" s="165"/>
      <c r="GD3" s="165"/>
      <c r="GE3" s="165"/>
      <c r="GF3" s="165"/>
      <c r="GG3" s="165"/>
      <c r="GH3" s="165"/>
      <c r="GI3" s="165"/>
      <c r="GJ3" s="165"/>
      <c r="GK3" s="165"/>
      <c r="GL3" s="165"/>
      <c r="GM3" s="165"/>
      <c r="GN3" s="165"/>
      <c r="GO3" s="165"/>
      <c r="GP3" s="165"/>
      <c r="GQ3" s="165"/>
      <c r="GR3" s="165"/>
      <c r="GS3" s="165"/>
      <c r="GT3" s="165"/>
      <c r="GU3" s="165"/>
      <c r="GV3" s="165"/>
      <c r="GW3" s="165"/>
      <c r="GX3" s="165"/>
      <c r="GY3" s="165"/>
      <c r="GZ3" s="165"/>
      <c r="HA3" s="165"/>
      <c r="HB3" s="165"/>
      <c r="HC3" s="165"/>
      <c r="HD3" s="165"/>
      <c r="HE3" s="165"/>
      <c r="HF3" s="165"/>
      <c r="HG3" s="165"/>
      <c r="HH3" s="165"/>
      <c r="HI3" s="165"/>
      <c r="HJ3" s="165"/>
      <c r="HK3" s="165"/>
      <c r="HL3" s="165"/>
      <c r="HM3" s="165"/>
      <c r="HN3" s="165"/>
      <c r="HO3" s="165"/>
      <c r="HP3" s="165"/>
      <c r="HQ3" s="165"/>
      <c r="HR3" s="165"/>
      <c r="HS3" s="165"/>
      <c r="HT3" s="165"/>
      <c r="HU3" s="165"/>
      <c r="HV3" s="165"/>
      <c r="HW3" s="165"/>
      <c r="HX3" s="165"/>
      <c r="HY3" s="165"/>
      <c r="HZ3" s="165"/>
      <c r="IA3" s="165"/>
      <c r="IB3" s="165"/>
      <c r="IC3" s="165"/>
      <c r="ID3" s="165"/>
      <c r="IE3" s="165"/>
      <c r="IF3" s="165"/>
      <c r="IG3" s="165"/>
      <c r="IH3" s="165"/>
      <c r="II3" s="165"/>
      <c r="IJ3" s="165"/>
      <c r="IK3" s="165"/>
      <c r="IL3" s="165"/>
      <c r="IM3" s="165"/>
      <c r="IN3" s="165"/>
      <c r="IO3" s="165"/>
      <c r="IP3" s="165"/>
      <c r="IQ3" s="165"/>
      <c r="IR3" s="165"/>
      <c r="IS3" s="165"/>
      <c r="IT3" s="165"/>
      <c r="IU3" s="165"/>
      <c r="IV3" s="165"/>
      <c r="IW3" s="1563">
        <v>0</v>
      </c>
    </row>
    <row r="4" spans="1:257" s="1745" customFormat="1" ht="15" customHeight="1">
      <c r="A4" s="1558"/>
      <c r="B4" s="1293"/>
      <c r="C4" s="1558"/>
      <c r="D4" s="1442"/>
      <c r="E4" s="1562"/>
      <c r="F4" s="1562"/>
      <c r="G4" s="1562"/>
      <c r="H4" s="1562"/>
      <c r="I4" s="1562"/>
      <c r="J4" s="1562"/>
      <c r="K4" s="1562"/>
      <c r="L4" s="1820"/>
      <c r="M4" s="186"/>
      <c r="N4" s="1551"/>
      <c r="O4" s="1551"/>
      <c r="P4" s="1551"/>
      <c r="Q4" s="1551"/>
      <c r="R4" s="1551"/>
      <c r="S4" s="163"/>
      <c r="T4" s="163"/>
      <c r="U4" s="163"/>
      <c r="V4" s="163"/>
      <c r="IW4" s="1536">
        <v>14</v>
      </c>
    </row>
    <row r="5" spans="1:257" s="1745" customFormat="1" ht="27" customHeight="1">
      <c r="A5" s="1558"/>
      <c r="B5" s="1293"/>
      <c r="C5" s="1558"/>
      <c r="D5" s="1442"/>
      <c r="E5" s="2744" t="str">
        <f>"Форма "&amp;IF(TEMPLATE_SPHERE="HEAT","4","3")&amp;". Информация о рассмотрении дел об установлении "&amp;IF(TEMPLATE_SPHERE="TKO","предельных тарифов","тарифов в сфере "&amp;TEMPLATE_SPHERE_RUS)</f>
        <v>Форма 4. Информация о рассмотрении дел об установлении тарифов в сфере теплоснабжения</v>
      </c>
      <c r="F5" s="2744"/>
      <c r="G5" s="2744"/>
      <c r="H5" s="2744"/>
      <c r="I5" s="2744"/>
      <c r="J5" s="2744"/>
      <c r="K5" s="2744"/>
      <c r="L5" s="1562"/>
      <c r="M5" s="186"/>
      <c r="N5" s="1551"/>
      <c r="O5" s="1551"/>
      <c r="P5" s="1551"/>
      <c r="Q5" s="1551"/>
      <c r="R5" s="1551"/>
      <c r="S5" s="163"/>
      <c r="T5" s="163"/>
      <c r="U5" s="163"/>
      <c r="V5" s="163"/>
      <c r="IW5" s="1536">
        <v>26</v>
      </c>
    </row>
    <row r="6" spans="1:257" s="1745" customFormat="1" ht="15" customHeight="1">
      <c r="A6" s="1558"/>
      <c r="B6" s="1293"/>
      <c r="C6" s="1558"/>
      <c r="D6" s="1442"/>
      <c r="E6" s="1562"/>
      <c r="F6" s="553"/>
      <c r="G6" s="553"/>
      <c r="H6" s="553"/>
      <c r="I6" s="553"/>
      <c r="J6" s="553"/>
      <c r="K6" s="553"/>
      <c r="L6" s="1179"/>
      <c r="M6" s="1551"/>
      <c r="N6" s="1551"/>
      <c r="O6" s="1551"/>
      <c r="P6" s="1551"/>
      <c r="Q6" s="1551"/>
      <c r="R6" s="1551"/>
      <c r="S6" s="163"/>
      <c r="T6" s="163"/>
      <c r="U6" s="163"/>
      <c r="V6" s="163"/>
      <c r="IW6" s="1536">
        <v>14</v>
      </c>
    </row>
    <row r="7" spans="1:257" s="1745" customFormat="1" ht="15" customHeight="1">
      <c r="A7" s="1558"/>
      <c r="B7" s="1293"/>
      <c r="C7" s="1558"/>
      <c r="D7" s="1442"/>
      <c r="E7" s="2740" t="s">
        <v>345</v>
      </c>
      <c r="F7" s="2745"/>
      <c r="G7" s="2745"/>
      <c r="H7" s="2745"/>
      <c r="I7" s="2745"/>
      <c r="J7" s="2745"/>
      <c r="K7" s="2745"/>
      <c r="L7" s="3066" t="s">
        <v>346</v>
      </c>
      <c r="M7" s="1551"/>
      <c r="N7" s="1551"/>
      <c r="O7" s="1551"/>
      <c r="P7" s="1551"/>
      <c r="Q7" s="1551"/>
      <c r="R7" s="1551"/>
      <c r="S7" s="163"/>
      <c r="T7" s="163"/>
      <c r="U7" s="163"/>
      <c r="V7" s="163"/>
      <c r="IW7" s="1536">
        <v>14</v>
      </c>
    </row>
    <row r="8" spans="1:257" s="1745" customFormat="1" ht="67.5" customHeight="1">
      <c r="A8" s="1558"/>
      <c r="B8" s="1293"/>
      <c r="C8" s="1558"/>
      <c r="D8" s="1442"/>
      <c r="E8" s="3070" t="s">
        <v>93</v>
      </c>
      <c r="F8" s="3070" t="s">
        <v>1923</v>
      </c>
      <c r="G8" s="3072" t="s">
        <v>1924</v>
      </c>
      <c r="H8" s="3073"/>
      <c r="I8" s="3074"/>
      <c r="J8" s="3070" t="s">
        <v>1925</v>
      </c>
      <c r="K8" s="3070" t="str">
        <f>"Протокол заседания правления (коллегии) "&amp;IF(TEMPLATE_SPHERE="TKO","регионального органа регулирования (органа местного самоуправления)","органа "&amp;IF(TEMPLATE_SPHERE="HEAT","тарифного регулирования","регулирования тарифов"))&amp;", оформленный в соответствии "&amp;IF(TEMPLATE_SPHERE="HEAT","с законодательством Российской Федерации",IF(TEMPLATE_SPHERE="TKO","с требованиями, установленными Правилами регулирования тарифов в сфере обращения с твердыми коммунальными отходами, утвержденными постановлением Правительства Российской Федерации от 30 мая 2016 г. N 484","с требованиями, установленными Правилами регулирования тарифов в сфере водоснабжения и водоотведения, утвержденными постановлением Правительства Российской Федерации от 13 мая 2013 г. № 406"))</f>
        <v>Протокол заседания правления (коллегии) органа тарифного регулирования, оформленный в соответствии с законодательством Российской Федерации</v>
      </c>
      <c r="L8" s="3068"/>
      <c r="M8" s="1551"/>
      <c r="N8" s="1551"/>
      <c r="O8" s="1551"/>
      <c r="P8" s="1551"/>
      <c r="Q8" s="1551"/>
      <c r="R8" s="1551"/>
      <c r="S8" s="163"/>
      <c r="T8" s="163"/>
      <c r="U8" s="163"/>
      <c r="V8" s="163"/>
      <c r="IW8" s="1536">
        <v>64</v>
      </c>
    </row>
    <row r="9" spans="1:257" s="1745" customFormat="1" ht="29.25" customHeight="1">
      <c r="A9" s="1558"/>
      <c r="B9" s="1293"/>
      <c r="C9" s="1558"/>
      <c r="D9" s="1442"/>
      <c r="E9" s="3071"/>
      <c r="F9" s="3071"/>
      <c r="G9" s="1819" t="s">
        <v>1919</v>
      </c>
      <c r="H9" s="1819" t="s">
        <v>1920</v>
      </c>
      <c r="I9" s="1819" t="s">
        <v>1921</v>
      </c>
      <c r="J9" s="3071"/>
      <c r="K9" s="3071"/>
      <c r="L9" s="3067"/>
      <c r="M9" s="1551"/>
      <c r="N9" s="1551"/>
      <c r="O9" s="1551"/>
      <c r="P9" s="1551"/>
      <c r="Q9" s="1551"/>
      <c r="R9" s="1551"/>
      <c r="S9" s="163"/>
      <c r="T9" s="163"/>
      <c r="U9" s="163"/>
      <c r="V9" s="163"/>
      <c r="IW9" s="1536">
        <v>28</v>
      </c>
    </row>
    <row r="10" spans="1:257" s="1775" customFormat="1" ht="0.75" customHeight="1">
      <c r="A10" s="2743"/>
      <c r="B10" s="1293">
        <v>1</v>
      </c>
      <c r="C10" s="1293"/>
      <c r="D10" s="731"/>
      <c r="E10" s="726">
        <v>0</v>
      </c>
      <c r="F10" s="1816" t="str">
        <f>IF(ROIV_INFO_NAME="","",ROIV_INFO_NAME)</f>
        <v>ТМУП "ТТС"</v>
      </c>
      <c r="G10" s="1659" t="s">
        <v>30</v>
      </c>
      <c r="H10" s="1828"/>
      <c r="I10" s="1828"/>
      <c r="J10" s="456"/>
      <c r="K10" s="456"/>
      <c r="L10" s="3051" t="str">
        <f>"В поле «"&amp;F8&amp;"»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образован."&amp;"
В поле «дата» указывается дата в виде «ДД.ММ.ГГГГ».
В поле «место» указывается адрес места проведения заседания (коллегии).
В полях «"&amp;MID(J8,1,40)&amp;"… » и «"&amp;MID(K8,1,40)&amp;"…» указываются ссылка на документ, предварительно загруженный в хранилище файлов ФГИС ЕИАС."</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M10" s="1462" t="e">
        <f ca="1">MERGEVALUE(F10)</f>
        <v>#NAME?</v>
      </c>
      <c r="N10" s="1563"/>
      <c r="O10" s="1563"/>
      <c r="P10" s="1551" t="str">
        <f t="array" ref="P10">IF(ISERROR(MATCH(MID(Q10,1,250),MID(note_ter,1,250),0)),"n","y")</f>
        <v>n</v>
      </c>
      <c r="Q10" s="1563"/>
      <c r="R10" s="1551" t="str">
        <f>G10&amp;"("&amp;L10&amp;")"</f>
        <v>(В поле «Наименование органа тарифного регулирования» указывается наименование в соответствии с нормативным правовым актом, на основании которого региональный орган регулирования (орган местного самоуправления) образован.
В поле «дата» указывается дата в виде «ДД.ММ.ГГГГ».
В поле «место» указывается адрес места проведения заседания (коллегии).
В полях «Принятые органом тарифного регулирования… » и «Протокол заседания правления (коллегии) …» указываются ссылка на документ, предварительно загруженный в хранилище файлов ФГИС ЕИАС.)</v>
      </c>
      <c r="S10" s="1293"/>
      <c r="T10" s="1293"/>
      <c r="U10" s="357"/>
      <c r="V10" s="1293"/>
      <c r="W10" s="1293"/>
      <c r="X10" s="1293"/>
      <c r="Y10" s="764"/>
      <c r="Z10" s="764"/>
      <c r="AA10" s="564"/>
      <c r="AB10" s="564"/>
      <c r="AC10" s="564"/>
      <c r="AD10" s="564"/>
      <c r="AE10" s="564"/>
      <c r="AF10" s="564"/>
      <c r="AG10" s="564"/>
      <c r="AH10" s="564"/>
      <c r="AI10" s="564"/>
      <c r="AJ10" s="564"/>
      <c r="AK10" s="564"/>
      <c r="AL10" s="564"/>
      <c r="AM10" s="564"/>
      <c r="AN10" s="564"/>
      <c r="AO10" s="564"/>
      <c r="AP10" s="564"/>
      <c r="AQ10" s="564"/>
      <c r="AR10" s="564"/>
      <c r="AS10" s="564"/>
      <c r="AT10" s="564"/>
      <c r="AU10" s="564"/>
      <c r="AV10" s="564"/>
      <c r="AW10" s="564"/>
      <c r="AX10" s="564"/>
      <c r="AY10" s="564"/>
      <c r="AZ10" s="564"/>
      <c r="BA10" s="564"/>
      <c r="BB10" s="564"/>
      <c r="BC10" s="564"/>
      <c r="BD10" s="564"/>
      <c r="BE10" s="564"/>
      <c r="BF10" s="564"/>
      <c r="BG10" s="564"/>
      <c r="BH10" s="564"/>
      <c r="BI10" s="564"/>
      <c r="BJ10" s="564"/>
      <c r="BK10" s="564"/>
      <c r="BL10" s="564"/>
      <c r="BM10" s="564"/>
      <c r="BN10" s="564"/>
      <c r="BO10" s="564"/>
      <c r="BP10" s="564"/>
      <c r="BQ10" s="564"/>
      <c r="BR10" s="564"/>
      <c r="BS10" s="564"/>
      <c r="BT10" s="564"/>
      <c r="BU10" s="564"/>
      <c r="BV10" s="764"/>
      <c r="BW10" s="764"/>
      <c r="BX10" s="764"/>
      <c r="BY10" s="764"/>
      <c r="BZ10" s="764"/>
      <c r="CA10" s="764"/>
      <c r="CB10" s="764"/>
      <c r="CC10" s="764"/>
      <c r="CD10" s="764"/>
      <c r="CE10" s="764"/>
      <c r="IW10" s="561">
        <v>1</v>
      </c>
    </row>
    <row r="11" spans="1:257" s="1775" customFormat="1" ht="15.75" customHeight="1">
      <c r="A11" s="2743"/>
      <c r="B11" s="1293"/>
      <c r="C11" s="349"/>
      <c r="D11" s="732"/>
      <c r="E11" s="358"/>
      <c r="F11" s="588" t="s">
        <v>1922</v>
      </c>
      <c r="G11" s="125"/>
      <c r="H11" s="125"/>
      <c r="I11" s="125"/>
      <c r="J11" s="125"/>
      <c r="K11" s="361"/>
      <c r="L11" s="3069"/>
      <c r="M11" s="1463"/>
      <c r="N11" s="1563"/>
      <c r="O11" s="1563"/>
      <c r="P11" s="1563"/>
      <c r="Q11" s="1551"/>
      <c r="R11" s="1563"/>
      <c r="S11" s="1293"/>
      <c r="T11" s="1293"/>
      <c r="U11" s="357"/>
      <c r="V11" s="1293"/>
      <c r="W11" s="1293"/>
      <c r="X11" s="1293"/>
      <c r="Y11" s="764"/>
      <c r="Z11" s="764"/>
      <c r="AA11" s="564"/>
      <c r="AB11" s="564"/>
      <c r="AC11" s="564"/>
      <c r="AD11" s="564"/>
      <c r="AE11" s="564"/>
      <c r="AF11" s="564"/>
      <c r="AG11" s="564"/>
      <c r="AH11" s="564"/>
      <c r="AI11" s="564"/>
      <c r="AJ11" s="564"/>
      <c r="AK11" s="564"/>
      <c r="AL11" s="564"/>
      <c r="AM11" s="564"/>
      <c r="AN11" s="564"/>
      <c r="AO11" s="564"/>
      <c r="AP11" s="564"/>
      <c r="AQ11" s="564"/>
      <c r="AR11" s="564"/>
      <c r="AS11" s="564"/>
      <c r="AT11" s="564"/>
      <c r="AU11" s="564"/>
      <c r="AV11" s="564"/>
      <c r="AW11" s="564"/>
      <c r="AX11" s="564"/>
      <c r="AY11" s="564"/>
      <c r="AZ11" s="564"/>
      <c r="BA11" s="564"/>
      <c r="BB11" s="564"/>
      <c r="BC11" s="564"/>
      <c r="BD11" s="564"/>
      <c r="BE11" s="564"/>
      <c r="BF11" s="564"/>
      <c r="BG11" s="564"/>
      <c r="BH11" s="564"/>
      <c r="BI11" s="564"/>
      <c r="BJ11" s="564"/>
      <c r="BK11" s="564"/>
      <c r="BL11" s="564"/>
      <c r="BM11" s="564"/>
      <c r="BN11" s="564"/>
      <c r="BO11" s="564"/>
      <c r="BP11" s="564"/>
      <c r="BQ11" s="564"/>
      <c r="BR11" s="564"/>
      <c r="BS11" s="564"/>
      <c r="BT11" s="564"/>
      <c r="BU11" s="564"/>
      <c r="BV11" s="764"/>
      <c r="BW11" s="764"/>
      <c r="BX11" s="764"/>
      <c r="BY11" s="764"/>
      <c r="BZ11" s="764"/>
      <c r="CA11" s="764"/>
      <c r="CB11" s="764"/>
      <c r="CC11" s="764"/>
      <c r="CD11" s="764"/>
      <c r="CE11" s="764"/>
      <c r="IW11" s="561">
        <v>15</v>
      </c>
    </row>
    <row r="12" spans="1:257" s="1745" customFormat="1" ht="21.75" customHeight="1">
      <c r="A12" s="1558"/>
      <c r="B12" s="1293"/>
      <c r="C12" s="1558"/>
      <c r="D12" s="1560"/>
      <c r="E12" s="118"/>
      <c r="F12" s="118"/>
      <c r="G12" s="118"/>
      <c r="H12" s="118"/>
      <c r="I12" s="118"/>
      <c r="J12" s="118"/>
      <c r="K12" s="118"/>
      <c r="L12" s="118"/>
      <c r="M12" s="1551"/>
      <c r="N12" s="1551"/>
      <c r="O12" s="1551"/>
      <c r="P12" s="1551"/>
      <c r="Q12" s="1551"/>
      <c r="R12" s="1551"/>
      <c r="S12" s="163"/>
      <c r="T12" s="163"/>
      <c r="U12" s="163"/>
      <c r="V12" s="163"/>
      <c r="IW12" s="1536">
        <v>21</v>
      </c>
    </row>
    <row r="13" spans="1:257" s="1745" customFormat="1" ht="15" customHeight="1">
      <c r="A13" s="1558"/>
      <c r="B13" s="1293"/>
      <c r="C13" s="1558"/>
      <c r="D13" s="1560"/>
      <c r="E13" s="1558"/>
      <c r="F13" s="1558"/>
      <c r="G13" s="1558"/>
      <c r="H13" s="1558"/>
      <c r="I13" s="1558"/>
      <c r="J13" s="1558"/>
      <c r="K13" s="1558"/>
      <c r="L13" s="1558"/>
      <c r="M13" s="1551"/>
      <c r="N13" s="1551"/>
      <c r="O13" s="1551"/>
      <c r="P13" s="1551"/>
      <c r="Q13" s="1551"/>
      <c r="R13" s="1551"/>
      <c r="S13" s="163"/>
      <c r="T13" s="163"/>
      <c r="U13" s="163"/>
      <c r="V13" s="163"/>
      <c r="IW13" s="1536">
        <v>14</v>
      </c>
    </row>
    <row r="14" spans="1:257" s="1745" customFormat="1" ht="0.75" customHeight="1">
      <c r="A14" s="1558"/>
      <c r="B14" s="1293"/>
      <c r="C14" s="1558"/>
      <c r="D14" s="1560"/>
      <c r="E14" s="1558"/>
      <c r="F14" s="1558"/>
      <c r="G14" s="1558"/>
      <c r="H14" s="1558"/>
      <c r="I14" s="1558"/>
      <c r="J14" s="1558"/>
      <c r="K14" s="1558"/>
      <c r="L14" s="1558"/>
      <c r="M14" s="1551"/>
      <c r="N14" s="1551"/>
      <c r="O14" s="1551"/>
      <c r="P14" s="1551"/>
      <c r="Q14" s="1551"/>
      <c r="R14" s="1551"/>
      <c r="S14" s="163"/>
      <c r="T14" s="163"/>
      <c r="U14" s="163"/>
      <c r="V14" s="163"/>
      <c r="IW14" s="1536">
        <v>1</v>
      </c>
    </row>
    <row r="15" spans="1:257" ht="22.5" hidden="1" customHeight="1">
      <c r="A15" s="1558" t="s">
        <v>87</v>
      </c>
      <c r="B15" s="1293">
        <v>0</v>
      </c>
      <c r="C15" s="1558">
        <v>0</v>
      </c>
      <c r="D15" s="1560">
        <v>3</v>
      </c>
      <c r="E15" s="1558">
        <v>6</v>
      </c>
      <c r="F15" s="1558">
        <v>27</v>
      </c>
      <c r="G15" s="1558">
        <v>16</v>
      </c>
      <c r="H15" s="1558">
        <v>12</v>
      </c>
      <c r="I15" s="1558">
        <v>32</v>
      </c>
      <c r="J15" s="1558">
        <v>41</v>
      </c>
      <c r="K15" s="1558">
        <v>41</v>
      </c>
      <c r="L15" s="1558">
        <v>89</v>
      </c>
      <c r="M15" s="1551">
        <v>3</v>
      </c>
      <c r="N15" s="1551">
        <v>8</v>
      </c>
      <c r="O15" s="1551">
        <v>8</v>
      </c>
      <c r="P15" s="1551">
        <v>8</v>
      </c>
      <c r="Q15" s="1551">
        <v>25</v>
      </c>
      <c r="R15" s="1551">
        <v>14</v>
      </c>
      <c r="S15" s="163">
        <v>8</v>
      </c>
      <c r="T15" s="163">
        <v>8</v>
      </c>
      <c r="U15" s="163">
        <v>8</v>
      </c>
      <c r="V15" s="163">
        <v>8</v>
      </c>
      <c r="W15" s="1558">
        <v>8</v>
      </c>
      <c r="X15" s="1558">
        <v>8</v>
      </c>
      <c r="Y15" s="1558">
        <v>8</v>
      </c>
      <c r="Z15" s="1558">
        <v>8</v>
      </c>
      <c r="AA15" s="1558">
        <v>8</v>
      </c>
      <c r="AB15" s="1558">
        <v>8</v>
      </c>
      <c r="AC15" s="1558">
        <v>8</v>
      </c>
      <c r="AD15" s="1558">
        <v>8</v>
      </c>
      <c r="AE15" s="1558">
        <v>8</v>
      </c>
      <c r="AF15" s="1558">
        <v>8</v>
      </c>
      <c r="AG15" s="1558">
        <v>8</v>
      </c>
      <c r="AH15" s="1558">
        <v>8</v>
      </c>
      <c r="AI15" s="1558">
        <v>8</v>
      </c>
      <c r="AJ15" s="1558">
        <v>8</v>
      </c>
      <c r="AK15" s="1558">
        <v>8</v>
      </c>
      <c r="AL15" s="1558">
        <v>8</v>
      </c>
      <c r="AM15" s="1558">
        <v>8</v>
      </c>
      <c r="AN15" s="1558">
        <v>8</v>
      </c>
      <c r="AO15" s="1558">
        <v>8</v>
      </c>
      <c r="AP15" s="1558">
        <v>8</v>
      </c>
      <c r="AQ15" s="1558">
        <v>8</v>
      </c>
      <c r="AR15" s="1558">
        <v>8</v>
      </c>
      <c r="AS15" s="1558">
        <v>8</v>
      </c>
      <c r="AT15" s="1558">
        <v>8</v>
      </c>
      <c r="AU15" s="1558">
        <v>8</v>
      </c>
      <c r="AV15" s="1558">
        <v>8</v>
      </c>
      <c r="AW15" s="1558">
        <v>8</v>
      </c>
      <c r="AX15" s="1558">
        <v>8</v>
      </c>
      <c r="AY15" s="1558">
        <v>8</v>
      </c>
      <c r="AZ15" s="1558">
        <v>8</v>
      </c>
      <c r="BA15" s="1558">
        <v>8</v>
      </c>
      <c r="BB15" s="1558">
        <v>8</v>
      </c>
      <c r="BC15" s="1558">
        <v>8</v>
      </c>
      <c r="BD15" s="1558">
        <v>8</v>
      </c>
      <c r="BE15" s="1558">
        <v>8</v>
      </c>
      <c r="BF15" s="1558">
        <v>8</v>
      </c>
      <c r="BG15" s="1558">
        <v>8</v>
      </c>
      <c r="BH15" s="1558">
        <v>8</v>
      </c>
      <c r="BI15" s="1558">
        <v>8</v>
      </c>
      <c r="BJ15" s="1558">
        <v>8</v>
      </c>
      <c r="BK15" s="1558">
        <v>8</v>
      </c>
      <c r="BL15" s="1558">
        <v>8</v>
      </c>
      <c r="BM15" s="1558">
        <v>8</v>
      </c>
      <c r="BN15" s="1558">
        <v>8</v>
      </c>
      <c r="BO15" s="1558">
        <v>8</v>
      </c>
      <c r="BP15" s="1558">
        <v>8</v>
      </c>
      <c r="BQ15" s="1558">
        <v>8</v>
      </c>
      <c r="BR15" s="1558">
        <v>8</v>
      </c>
      <c r="BS15" s="1558">
        <v>8</v>
      </c>
      <c r="BT15" s="1558">
        <v>8</v>
      </c>
      <c r="BU15" s="1558">
        <v>8</v>
      </c>
      <c r="BV15" s="1558">
        <v>8</v>
      </c>
      <c r="BW15" s="1558">
        <v>8</v>
      </c>
      <c r="BX15" s="1558">
        <v>8</v>
      </c>
      <c r="BY15" s="1558">
        <v>8</v>
      </c>
      <c r="BZ15" s="1558">
        <v>8</v>
      </c>
      <c r="CA15" s="1558">
        <v>8</v>
      </c>
      <c r="CB15" s="1558">
        <v>8</v>
      </c>
      <c r="CC15" s="1558">
        <v>8</v>
      </c>
      <c r="CD15" s="1558">
        <v>8</v>
      </c>
      <c r="CE15" s="1558">
        <v>8</v>
      </c>
      <c r="CF15" s="1558">
        <v>8</v>
      </c>
      <c r="CG15" s="1558">
        <v>8</v>
      </c>
      <c r="CH15" s="1558">
        <v>8</v>
      </c>
      <c r="CI15" s="1558">
        <v>8</v>
      </c>
      <c r="CJ15" s="1558">
        <v>8</v>
      </c>
      <c r="CK15" s="1558">
        <v>8</v>
      </c>
      <c r="CL15" s="1558">
        <v>8</v>
      </c>
      <c r="CM15" s="1558">
        <v>8</v>
      </c>
      <c r="CN15" s="1558">
        <v>8</v>
      </c>
      <c r="CO15" s="1558">
        <v>8</v>
      </c>
      <c r="CP15" s="1558">
        <v>8</v>
      </c>
      <c r="CQ15" s="1558">
        <v>8</v>
      </c>
      <c r="CR15" s="1558">
        <v>8</v>
      </c>
      <c r="CS15" s="1558">
        <v>8</v>
      </c>
      <c r="CT15" s="1558">
        <v>8</v>
      </c>
      <c r="CU15" s="1558">
        <v>8</v>
      </c>
      <c r="CV15" s="1558">
        <v>8</v>
      </c>
      <c r="CW15" s="1558">
        <v>8</v>
      </c>
      <c r="CX15" s="1558">
        <v>8</v>
      </c>
      <c r="CY15" s="1558">
        <v>8</v>
      </c>
      <c r="CZ15" s="1558">
        <v>8</v>
      </c>
      <c r="DA15" s="1558">
        <v>8</v>
      </c>
      <c r="DB15" s="1558">
        <v>8</v>
      </c>
      <c r="DC15" s="1558">
        <v>8</v>
      </c>
      <c r="DD15" s="1558">
        <v>8</v>
      </c>
      <c r="DE15" s="1558">
        <v>8</v>
      </c>
      <c r="DF15" s="1558">
        <v>8</v>
      </c>
      <c r="DG15" s="1558">
        <v>8</v>
      </c>
      <c r="DH15" s="1558">
        <v>8</v>
      </c>
      <c r="DI15" s="1558">
        <v>8</v>
      </c>
      <c r="DJ15" s="1558">
        <v>8</v>
      </c>
      <c r="DK15" s="1558">
        <v>8</v>
      </c>
      <c r="DL15" s="1558">
        <v>8</v>
      </c>
      <c r="DM15" s="1558">
        <v>8</v>
      </c>
      <c r="DN15" s="1558">
        <v>8</v>
      </c>
      <c r="DO15" s="1558">
        <v>8</v>
      </c>
      <c r="DP15" s="1558">
        <v>8</v>
      </c>
      <c r="DQ15" s="1558">
        <v>8</v>
      </c>
      <c r="DR15" s="1558">
        <v>8</v>
      </c>
      <c r="DS15" s="1558">
        <v>8</v>
      </c>
      <c r="DT15" s="1558">
        <v>8</v>
      </c>
      <c r="DU15" s="1558">
        <v>8</v>
      </c>
      <c r="DV15" s="1558">
        <v>8</v>
      </c>
      <c r="DW15" s="1558">
        <v>8</v>
      </c>
      <c r="DX15" s="1558">
        <v>8</v>
      </c>
      <c r="DY15" s="1558">
        <v>8</v>
      </c>
      <c r="DZ15" s="1558">
        <v>8</v>
      </c>
      <c r="EA15" s="1558">
        <v>8</v>
      </c>
      <c r="EB15" s="1558">
        <v>8</v>
      </c>
      <c r="EC15" s="1558">
        <v>8</v>
      </c>
      <c r="ED15" s="1558">
        <v>8</v>
      </c>
      <c r="EE15" s="1558">
        <v>8</v>
      </c>
      <c r="EF15" s="1558">
        <v>8</v>
      </c>
      <c r="EG15" s="1558">
        <v>8</v>
      </c>
      <c r="EH15" s="1558">
        <v>8</v>
      </c>
      <c r="EI15" s="1558">
        <v>8</v>
      </c>
      <c r="EJ15" s="1558">
        <v>8</v>
      </c>
      <c r="EK15" s="1558">
        <v>8</v>
      </c>
      <c r="EL15" s="1558">
        <v>8</v>
      </c>
      <c r="EM15" s="1558">
        <v>8</v>
      </c>
      <c r="EN15" s="1558">
        <v>8</v>
      </c>
      <c r="EO15" s="1558">
        <v>8</v>
      </c>
      <c r="EP15" s="1558">
        <v>8</v>
      </c>
      <c r="EQ15" s="1558">
        <v>8</v>
      </c>
      <c r="ER15" s="1558">
        <v>8</v>
      </c>
      <c r="ES15" s="1558">
        <v>8</v>
      </c>
      <c r="ET15" s="1558">
        <v>8</v>
      </c>
      <c r="EU15" s="1558">
        <v>8</v>
      </c>
      <c r="EV15" s="1558">
        <v>8</v>
      </c>
      <c r="EW15" s="1558">
        <v>8</v>
      </c>
      <c r="EX15" s="1558">
        <v>8</v>
      </c>
      <c r="EY15" s="1558">
        <v>8</v>
      </c>
      <c r="EZ15" s="1558">
        <v>8</v>
      </c>
      <c r="FA15" s="1558">
        <v>8</v>
      </c>
      <c r="FB15" s="1558">
        <v>8</v>
      </c>
      <c r="FC15" s="1558">
        <v>8</v>
      </c>
      <c r="FD15" s="1558">
        <v>8</v>
      </c>
      <c r="FE15" s="1558">
        <v>8</v>
      </c>
      <c r="FF15" s="1558">
        <v>8</v>
      </c>
      <c r="FG15" s="1558">
        <v>8</v>
      </c>
      <c r="FH15" s="1558">
        <v>8</v>
      </c>
      <c r="FI15" s="1558">
        <v>8</v>
      </c>
      <c r="FJ15" s="1558">
        <v>8</v>
      </c>
      <c r="FK15" s="1558">
        <v>8</v>
      </c>
      <c r="FL15" s="1558">
        <v>8</v>
      </c>
      <c r="FM15" s="1558">
        <v>8</v>
      </c>
      <c r="FN15" s="1558">
        <v>8</v>
      </c>
      <c r="FO15" s="1558">
        <v>8</v>
      </c>
      <c r="FP15" s="1558">
        <v>8</v>
      </c>
      <c r="FQ15" s="1558">
        <v>8</v>
      </c>
      <c r="FR15" s="1558">
        <v>8</v>
      </c>
      <c r="FS15" s="1558">
        <v>8</v>
      </c>
      <c r="FT15" s="1558">
        <v>8</v>
      </c>
      <c r="FU15" s="1558">
        <v>8</v>
      </c>
      <c r="FV15" s="1558">
        <v>8</v>
      </c>
      <c r="FW15" s="1558">
        <v>8</v>
      </c>
      <c r="FX15" s="1558">
        <v>8</v>
      </c>
      <c r="FY15" s="1558">
        <v>8</v>
      </c>
      <c r="FZ15" s="1558">
        <v>8</v>
      </c>
      <c r="GA15" s="1558">
        <v>8</v>
      </c>
      <c r="GB15" s="1558">
        <v>8</v>
      </c>
      <c r="GC15" s="1558">
        <v>8</v>
      </c>
      <c r="GD15" s="1558">
        <v>8</v>
      </c>
      <c r="GE15" s="1558">
        <v>8</v>
      </c>
      <c r="GF15" s="1558">
        <v>8</v>
      </c>
      <c r="GG15" s="1558">
        <v>8</v>
      </c>
      <c r="GH15" s="1558">
        <v>8</v>
      </c>
      <c r="GI15" s="1558">
        <v>8</v>
      </c>
      <c r="GJ15" s="1558">
        <v>8</v>
      </c>
      <c r="GK15" s="1558">
        <v>8</v>
      </c>
      <c r="GL15" s="1558">
        <v>8</v>
      </c>
      <c r="GM15" s="1558">
        <v>8</v>
      </c>
      <c r="GN15" s="1558">
        <v>8</v>
      </c>
      <c r="GO15" s="1558">
        <v>8</v>
      </c>
      <c r="GP15" s="1558">
        <v>8</v>
      </c>
      <c r="GQ15" s="1558">
        <v>8</v>
      </c>
      <c r="GR15" s="1558">
        <v>8</v>
      </c>
      <c r="GS15" s="1558">
        <v>8</v>
      </c>
      <c r="GT15" s="1558">
        <v>8</v>
      </c>
      <c r="GU15" s="1558">
        <v>8</v>
      </c>
      <c r="GV15" s="1558">
        <v>8</v>
      </c>
      <c r="GW15" s="1558">
        <v>8</v>
      </c>
      <c r="GX15" s="1558">
        <v>8</v>
      </c>
      <c r="GY15" s="1558">
        <v>8</v>
      </c>
      <c r="GZ15" s="1558">
        <v>8</v>
      </c>
      <c r="HA15" s="1558">
        <v>8</v>
      </c>
      <c r="HB15" s="1558">
        <v>8</v>
      </c>
      <c r="HC15" s="1558">
        <v>8</v>
      </c>
      <c r="HD15" s="1558">
        <v>8</v>
      </c>
      <c r="HE15" s="1558">
        <v>8</v>
      </c>
      <c r="HF15" s="1558">
        <v>8</v>
      </c>
      <c r="HG15" s="1558">
        <v>8</v>
      </c>
      <c r="HH15" s="1558">
        <v>8</v>
      </c>
      <c r="HI15" s="1558">
        <v>8</v>
      </c>
      <c r="HJ15" s="1558">
        <v>8</v>
      </c>
      <c r="HK15" s="1558">
        <v>8</v>
      </c>
      <c r="HL15" s="1558">
        <v>8</v>
      </c>
      <c r="HM15" s="1558">
        <v>8</v>
      </c>
      <c r="HN15" s="1558">
        <v>8</v>
      </c>
      <c r="HO15" s="1558">
        <v>8</v>
      </c>
      <c r="HP15" s="1558">
        <v>8</v>
      </c>
      <c r="HQ15" s="1558">
        <v>8</v>
      </c>
      <c r="HR15" s="1558">
        <v>8</v>
      </c>
      <c r="HS15" s="1558">
        <v>8</v>
      </c>
      <c r="HT15" s="1558">
        <v>8</v>
      </c>
      <c r="HU15" s="1558">
        <v>8</v>
      </c>
      <c r="HV15" s="1558">
        <v>8</v>
      </c>
      <c r="HW15" s="1558">
        <v>8</v>
      </c>
      <c r="HX15" s="1558">
        <v>8</v>
      </c>
      <c r="HY15" s="1558">
        <v>8</v>
      </c>
      <c r="HZ15" s="1558">
        <v>8</v>
      </c>
      <c r="IA15" s="1558">
        <v>8</v>
      </c>
      <c r="IB15" s="1558">
        <v>8</v>
      </c>
      <c r="IC15" s="1558">
        <v>8</v>
      </c>
      <c r="ID15" s="1558">
        <v>8</v>
      </c>
      <c r="IE15" s="1558">
        <v>8</v>
      </c>
      <c r="IF15" s="1558">
        <v>8</v>
      </c>
      <c r="IG15" s="1558">
        <v>8</v>
      </c>
      <c r="IH15" s="1558">
        <v>8</v>
      </c>
      <c r="II15" s="1558">
        <v>8</v>
      </c>
      <c r="IJ15" s="1558">
        <v>8</v>
      </c>
      <c r="IK15" s="1558">
        <v>8</v>
      </c>
      <c r="IL15" s="1558">
        <v>8</v>
      </c>
      <c r="IM15" s="1558">
        <v>8</v>
      </c>
      <c r="IN15" s="1558">
        <v>8</v>
      </c>
      <c r="IO15" s="1558">
        <v>8</v>
      </c>
      <c r="IP15" s="1558">
        <v>8</v>
      </c>
      <c r="IQ15" s="1558">
        <v>8</v>
      </c>
      <c r="IR15" s="1558">
        <v>8</v>
      </c>
      <c r="IS15" s="1558">
        <v>8</v>
      </c>
      <c r="IT15" s="1558">
        <v>8</v>
      </c>
      <c r="IU15" s="1558">
        <v>8</v>
      </c>
      <c r="IV15" s="1558">
        <v>8</v>
      </c>
      <c r="IW15" s="1558">
        <v>23</v>
      </c>
    </row>
  </sheetData>
  <sheetProtection insertRows="0" deleteColumns="0" deleteRows="0" sort="0" autoFilter="0"/>
  <mergeCells count="10">
    <mergeCell ref="A10:A11"/>
    <mergeCell ref="L10:L11"/>
    <mergeCell ref="E5:K5"/>
    <mergeCell ref="E7:K7"/>
    <mergeCell ref="L7:L9"/>
    <mergeCell ref="E8:E9"/>
    <mergeCell ref="F8:F9"/>
    <mergeCell ref="G8:I8"/>
    <mergeCell ref="J8:J9"/>
    <mergeCell ref="K8:K9"/>
  </mergeCells>
  <dataValidations count="5">
    <dataValidation type="time" allowBlank="1" showInputMessage="1" showErrorMessage="1" prompt="Укажите время в формате ЧЧ:ММ" sqref="H2">
      <formula1>0</formula1>
      <formula2>0.999305555555555</formula2>
    </dataValidation>
    <dataValidation type="textLength" operator="lessThanOrEqual" allowBlank="1" showInputMessage="1" showErrorMessage="1" sqref="I2">
      <formula1>990</formula1>
    </dataValidation>
    <dataValidation type="textLength" allowBlank="1" showInputMessage="1" showErrorMessage="1" sqref="H3:I3">
      <formula1>13</formula1>
      <formula2>15</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2:G3"/>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J2:K3">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19"/>
  <sheetViews>
    <sheetView showGridLines="0" zoomScale="90" workbookViewId="0">
      <pane xSplit="10" ySplit="12" topLeftCell="K13" activePane="bottomRight" state="frozen"/>
      <selection pane="topRight" activeCell="K1" sqref="K1"/>
      <selection pane="bottomLeft" activeCell="A13" sqref="A13"/>
      <selection pane="bottomRight"/>
    </sheetView>
  </sheetViews>
  <sheetFormatPr defaultColWidth="9.140625" defaultRowHeight="14.25" customHeight="1"/>
  <cols>
    <col min="1" max="1" width="9.140625" style="1562" hidden="1"/>
    <col min="2" max="2" width="9.140625" style="1293" hidden="1"/>
    <col min="3" max="3" width="3.7109375" style="1562" hidden="1" customWidth="1"/>
    <col min="4" max="4" width="3" style="1767" customWidth="1"/>
    <col min="5" max="5" width="6" style="1562" customWidth="1"/>
    <col min="6" max="6" width="27" style="1562" customWidth="1"/>
    <col min="7" max="7" width="29" style="1562" customWidth="1"/>
    <col min="8" max="8" width="25" style="1562" customWidth="1"/>
    <col min="9" max="9" width="5" style="1562" customWidth="1"/>
    <col min="10" max="10" width="6" style="1562" customWidth="1"/>
    <col min="11" max="11" width="41" style="1562" customWidth="1"/>
    <col min="12" max="12" width="42" style="1562" customWidth="1"/>
    <col min="13" max="13" width="41" style="1562" customWidth="1"/>
    <col min="14" max="14" width="89" style="1562" customWidth="1"/>
    <col min="15" max="15" width="3" style="1551" customWidth="1"/>
    <col min="16" max="16" width="8" style="1551" customWidth="1"/>
    <col min="17" max="17" width="9.140625" style="1562" hidden="1"/>
  </cols>
  <sheetData>
    <row r="1" spans="1:17" ht="22.5" hidden="1" customHeight="1">
      <c r="Q1" s="1082" t="s">
        <v>14</v>
      </c>
    </row>
    <row r="2" spans="1:17" s="1775" customFormat="1" ht="22.5" hidden="1" customHeight="1">
      <c r="A2" s="433"/>
      <c r="B2" s="1087">
        <v>1</v>
      </c>
      <c r="C2" s="1087"/>
      <c r="D2" s="1850" t="s">
        <v>179</v>
      </c>
      <c r="E2" s="2758">
        <v>1</v>
      </c>
      <c r="F2" s="2936" t="str">
        <f>IF(region_name="","",region_name)</f>
        <v>Тюменская область</v>
      </c>
      <c r="G2" s="3083"/>
      <c r="H2" s="3084"/>
      <c r="I2" s="411"/>
      <c r="J2" s="1835">
        <v>1</v>
      </c>
      <c r="K2" s="1837"/>
      <c r="L2" s="1837"/>
      <c r="M2" s="1837"/>
      <c r="N2" s="429"/>
      <c r="O2" s="1462"/>
      <c r="P2" s="448"/>
      <c r="Q2" s="360">
        <v>0</v>
      </c>
    </row>
    <row r="3" spans="1:17" s="1775" customFormat="1" ht="22.5" hidden="1" customHeight="1">
      <c r="A3" s="762"/>
      <c r="B3" s="1087"/>
      <c r="C3" s="1087"/>
      <c r="D3" s="732"/>
      <c r="E3" s="2758"/>
      <c r="F3" s="2936"/>
      <c r="G3" s="3083"/>
      <c r="H3" s="3085"/>
      <c r="I3" s="358"/>
      <c r="J3" s="1427"/>
      <c r="K3" s="1427" t="s">
        <v>1926</v>
      </c>
      <c r="L3" s="1470"/>
      <c r="M3" s="1845"/>
      <c r="N3" s="1838"/>
      <c r="O3" s="1462"/>
      <c r="P3" s="448"/>
      <c r="Q3" s="360">
        <v>0</v>
      </c>
    </row>
    <row r="4" spans="1:17" s="1569" customFormat="1" ht="5.25" hidden="1" customHeight="1">
      <c r="A4" s="433"/>
      <c r="D4" s="431"/>
      <c r="F4" s="185" t="s">
        <v>88</v>
      </c>
      <c r="G4" s="431" t="s">
        <v>89</v>
      </c>
      <c r="H4" s="431"/>
      <c r="I4" s="1848"/>
      <c r="J4" s="1471"/>
      <c r="K4" s="1836"/>
      <c r="L4" s="1836"/>
      <c r="M4" s="1836"/>
      <c r="N4" s="1832"/>
      <c r="O4" s="185" t="s">
        <v>88</v>
      </c>
      <c r="P4" s="185"/>
      <c r="Q4" s="448">
        <v>0</v>
      </c>
    </row>
    <row r="5" spans="1:17" s="1775" customFormat="1" ht="22.5" hidden="1" customHeight="1">
      <c r="A5" s="1568"/>
      <c r="B5" s="1293">
        <v>1</v>
      </c>
      <c r="C5" s="1293"/>
      <c r="D5" s="732"/>
      <c r="E5" s="1838"/>
      <c r="F5" s="1838"/>
      <c r="G5" s="1838"/>
      <c r="H5" s="1849"/>
      <c r="I5" s="1851" t="s">
        <v>179</v>
      </c>
      <c r="J5" s="1847">
        <v>1</v>
      </c>
      <c r="K5" s="1837"/>
      <c r="L5" s="1837"/>
      <c r="M5" s="1837"/>
      <c r="N5" s="429"/>
      <c r="O5" s="1462"/>
      <c r="P5" s="1563"/>
      <c r="Q5" s="561">
        <v>0</v>
      </c>
    </row>
    <row r="6" spans="1:17" s="1745" customFormat="1" ht="15" customHeight="1">
      <c r="A6" s="1082"/>
      <c r="B6" s="1087"/>
      <c r="C6" s="1082"/>
      <c r="D6" s="1422"/>
      <c r="E6" s="446"/>
      <c r="F6" s="446"/>
      <c r="G6" s="446"/>
      <c r="H6" s="446"/>
      <c r="I6" s="446"/>
      <c r="J6" s="446"/>
      <c r="K6" s="446"/>
      <c r="L6" s="446"/>
      <c r="M6" s="446"/>
      <c r="N6" s="1562"/>
      <c r="O6" s="185"/>
      <c r="P6" s="437"/>
      <c r="Q6" s="444">
        <v>14</v>
      </c>
    </row>
    <row r="7" spans="1:17" s="1745" customFormat="1" ht="27" customHeight="1">
      <c r="A7" s="1082"/>
      <c r="B7" s="1087"/>
      <c r="C7" s="1082"/>
      <c r="D7" s="1422"/>
      <c r="E7" s="3077" t="str">
        <f>"Форма "&amp;IF(TEMPLATE_SPHERE="HEAT","5","4")&amp;".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f>
        <v>Форма 5. Информация о привлечении к административной ответственности организаций и должностных лиц за нарушение установленных порядка, способа, сроков раскрытия информации и форм ее предоставления</v>
      </c>
      <c r="F7" s="3077"/>
      <c r="G7" s="3077"/>
      <c r="H7" s="3077"/>
      <c r="I7" s="3077"/>
      <c r="J7" s="3077"/>
      <c r="K7" s="3077"/>
      <c r="L7" s="3077"/>
      <c r="M7" s="3077"/>
      <c r="N7" s="1179"/>
      <c r="O7" s="185"/>
      <c r="P7" s="437"/>
      <c r="Q7" s="444">
        <v>26</v>
      </c>
    </row>
    <row r="8" spans="1:17" s="1745" customFormat="1" ht="15" customHeight="1">
      <c r="A8" s="1082"/>
      <c r="B8" s="1087"/>
      <c r="C8" s="1082"/>
      <c r="D8" s="1422"/>
      <c r="E8" s="446"/>
      <c r="F8" s="105"/>
      <c r="G8" s="105"/>
      <c r="H8" s="105"/>
      <c r="I8" s="105"/>
      <c r="J8" s="105"/>
      <c r="K8" s="105"/>
      <c r="L8" s="105"/>
      <c r="M8" s="105"/>
      <c r="N8" s="553"/>
      <c r="O8" s="437"/>
      <c r="P8" s="437"/>
      <c r="Q8" s="444">
        <v>14</v>
      </c>
    </row>
    <row r="9" spans="1:17" s="1473" customFormat="1" ht="14.25" hidden="1" customHeight="1">
      <c r="A9" s="1395"/>
      <c r="B9" s="1405"/>
      <c r="C9" s="1395"/>
      <c r="D9" s="1422"/>
      <c r="E9" s="1839"/>
      <c r="F9" s="1839"/>
      <c r="G9" s="1839"/>
      <c r="H9" s="1839"/>
      <c r="I9" s="3080"/>
      <c r="J9" s="3080"/>
      <c r="K9" s="3080"/>
      <c r="L9" s="1839"/>
      <c r="M9" s="1840"/>
      <c r="O9" s="1472"/>
      <c r="P9" s="1472"/>
      <c r="Q9" s="1473">
        <v>0</v>
      </c>
    </row>
    <row r="10" spans="1:17" s="1745" customFormat="1" ht="15" customHeight="1">
      <c r="A10" s="1082"/>
      <c r="B10" s="1087"/>
      <c r="C10" s="1082"/>
      <c r="D10" s="1422"/>
      <c r="E10" s="2758" t="s">
        <v>345</v>
      </c>
      <c r="F10" s="2758"/>
      <c r="G10" s="2758"/>
      <c r="H10" s="2758"/>
      <c r="I10" s="2758"/>
      <c r="J10" s="2758"/>
      <c r="K10" s="2758"/>
      <c r="L10" s="2758"/>
      <c r="M10" s="2740"/>
      <c r="N10" s="3070" t="s">
        <v>346</v>
      </c>
      <c r="O10" s="437"/>
      <c r="P10" s="437"/>
      <c r="Q10" s="444">
        <v>14</v>
      </c>
    </row>
    <row r="11" spans="1:17" s="1745" customFormat="1" ht="44.25" customHeight="1">
      <c r="A11" s="1558"/>
      <c r="B11" s="1293"/>
      <c r="C11" s="1558"/>
      <c r="D11" s="1442"/>
      <c r="E11" s="3079" t="s">
        <v>93</v>
      </c>
      <c r="F11" s="3079" t="s">
        <v>349</v>
      </c>
      <c r="G11" s="3079" t="s">
        <v>1927</v>
      </c>
      <c r="H11" s="3079"/>
      <c r="I11" s="3079" t="s">
        <v>1928</v>
      </c>
      <c r="J11" s="3079"/>
      <c r="K11" s="3079"/>
      <c r="L11" s="3079" t="s">
        <v>1929</v>
      </c>
      <c r="M11" s="3072" t="s">
        <v>1930</v>
      </c>
      <c r="N11" s="3078"/>
      <c r="O11" s="1551"/>
      <c r="P11" s="1551"/>
      <c r="Q11" s="1536">
        <v>42</v>
      </c>
    </row>
    <row r="12" spans="1:17" s="1745" customFormat="1" ht="29.25" customHeight="1">
      <c r="A12" s="1082"/>
      <c r="B12" s="1087"/>
      <c r="C12" s="1082"/>
      <c r="D12" s="1422"/>
      <c r="E12" s="3070"/>
      <c r="F12" s="3079"/>
      <c r="G12" s="1834" t="s">
        <v>1931</v>
      </c>
      <c r="H12" s="1834" t="s">
        <v>353</v>
      </c>
      <c r="I12" s="3079"/>
      <c r="J12" s="3079"/>
      <c r="K12" s="3079"/>
      <c r="L12" s="3079"/>
      <c r="M12" s="3072"/>
      <c r="N12" s="3071"/>
      <c r="O12" s="437"/>
      <c r="P12" s="437"/>
      <c r="Q12" s="444">
        <v>28</v>
      </c>
    </row>
    <row r="13" spans="1:17" s="1775" customFormat="1" ht="23.25" customHeight="1">
      <c r="A13" s="2743">
        <v>26379339</v>
      </c>
      <c r="B13" s="1087">
        <v>1</v>
      </c>
      <c r="C13" s="1087"/>
      <c r="D13" s="732"/>
      <c r="E13" s="2758">
        <v>1</v>
      </c>
      <c r="F13" s="3086" t="str">
        <f>IF(region_name="","",region_name)</f>
        <v>Тюменская область</v>
      </c>
      <c r="G13" s="3087"/>
      <c r="H13" s="3081"/>
      <c r="I13" s="411"/>
      <c r="J13" s="1830">
        <v>1</v>
      </c>
      <c r="K13" s="1843"/>
      <c r="L13" s="1844"/>
      <c r="M13" s="1844"/>
      <c r="N13" s="3075" t="s">
        <v>1932</v>
      </c>
      <c r="O13" s="1462"/>
      <c r="P13" s="448"/>
      <c r="Q13" s="360">
        <v>22</v>
      </c>
    </row>
    <row r="14" spans="1:17" s="1775" customFormat="1" ht="23.25" customHeight="1">
      <c r="A14" s="2743"/>
      <c r="B14" s="1087"/>
      <c r="C14" s="1087"/>
      <c r="D14" s="732"/>
      <c r="E14" s="2758"/>
      <c r="F14" s="3086"/>
      <c r="G14" s="3087"/>
      <c r="H14" s="3082"/>
      <c r="I14" s="358"/>
      <c r="J14" s="1427"/>
      <c r="K14" s="1427" t="s">
        <v>1926</v>
      </c>
      <c r="L14" s="1470"/>
      <c r="M14" s="1470"/>
      <c r="N14" s="3076"/>
      <c r="O14" s="1462"/>
      <c r="P14" s="448"/>
      <c r="Q14" s="360">
        <v>22</v>
      </c>
    </row>
    <row r="15" spans="1:17" s="1775" customFormat="1" ht="23.25" customHeight="1">
      <c r="A15" s="2743"/>
      <c r="B15" s="1087"/>
      <c r="C15" s="349"/>
      <c r="D15" s="732"/>
      <c r="E15" s="358"/>
      <c r="F15" s="1427" t="s">
        <v>1918</v>
      </c>
      <c r="G15" s="1469"/>
      <c r="H15" s="1469"/>
      <c r="I15" s="125"/>
      <c r="J15" s="125"/>
      <c r="K15" s="125"/>
      <c r="L15" s="125"/>
      <c r="M15" s="125"/>
      <c r="N15" s="3076"/>
      <c r="O15" s="1463"/>
      <c r="P15" s="448"/>
      <c r="Q15" s="360">
        <v>22</v>
      </c>
    </row>
    <row r="16" spans="1:17" s="1745" customFormat="1" ht="21.75" customHeight="1">
      <c r="A16" s="1082"/>
      <c r="B16" s="1087"/>
      <c r="C16" s="1082"/>
      <c r="D16" s="388"/>
      <c r="E16" s="118"/>
      <c r="F16" s="118"/>
      <c r="G16" s="118"/>
      <c r="H16" s="118"/>
      <c r="I16" s="118"/>
      <c r="J16" s="118"/>
      <c r="K16" s="118"/>
      <c r="L16" s="118"/>
      <c r="M16" s="446"/>
      <c r="N16" s="1562"/>
      <c r="O16" s="437"/>
      <c r="P16" s="437"/>
      <c r="Q16" s="444">
        <v>21</v>
      </c>
    </row>
    <row r="17" spans="1:17" s="1745" customFormat="1" ht="15" customHeight="1">
      <c r="A17" s="1082"/>
      <c r="B17" s="1087"/>
      <c r="C17" s="1082"/>
      <c r="D17" s="388"/>
      <c r="E17" s="1082"/>
      <c r="F17" s="1082"/>
      <c r="G17" s="1082"/>
      <c r="H17" s="1082"/>
      <c r="I17" s="1082"/>
      <c r="J17" s="1082"/>
      <c r="K17" s="1082"/>
      <c r="L17" s="1082"/>
      <c r="M17" s="1082"/>
      <c r="N17" s="1558"/>
      <c r="O17" s="437"/>
      <c r="P17" s="437"/>
      <c r="Q17" s="444">
        <v>14</v>
      </c>
    </row>
    <row r="18" spans="1:17" s="1745" customFormat="1" ht="0.75" customHeight="1">
      <c r="A18" s="1082"/>
      <c r="B18" s="1087"/>
      <c r="C18" s="1082"/>
      <c r="D18" s="388"/>
      <c r="E18" s="1082"/>
      <c r="F18" s="1082"/>
      <c r="G18" s="1082"/>
      <c r="H18" s="1082"/>
      <c r="I18" s="1082"/>
      <c r="J18" s="1082"/>
      <c r="K18" s="1082"/>
      <c r="L18" s="1082"/>
      <c r="M18" s="1082"/>
      <c r="N18" s="1558"/>
      <c r="O18" s="437"/>
      <c r="P18" s="437"/>
      <c r="Q18" s="444">
        <v>1</v>
      </c>
    </row>
    <row r="19" spans="1:17" ht="22.5" hidden="1" customHeight="1">
      <c r="A19" s="1082" t="s">
        <v>87</v>
      </c>
      <c r="B19" s="1087">
        <v>0</v>
      </c>
      <c r="C19" s="1082">
        <v>0</v>
      </c>
      <c r="D19" s="388">
        <v>3</v>
      </c>
      <c r="E19" s="1082">
        <v>6</v>
      </c>
      <c r="F19" s="1082">
        <v>27</v>
      </c>
      <c r="G19" s="1082">
        <v>29</v>
      </c>
      <c r="H19" s="1082">
        <v>25</v>
      </c>
      <c r="I19" s="1082">
        <v>5</v>
      </c>
      <c r="J19" s="1082">
        <v>6</v>
      </c>
      <c r="K19" s="1082">
        <v>41</v>
      </c>
      <c r="L19" s="1082">
        <v>42</v>
      </c>
      <c r="M19" s="1082">
        <v>41</v>
      </c>
      <c r="N19" s="1558">
        <v>89</v>
      </c>
      <c r="O19" s="437">
        <v>3</v>
      </c>
      <c r="P19" s="437">
        <v>8</v>
      </c>
      <c r="Q19" s="1082">
        <v>23</v>
      </c>
    </row>
  </sheetData>
  <sheetProtection formatColumns="0" formatRows="0" insertRows="0" deleteColumns="0" deleteRows="0" sort="0" autoFilter="0"/>
  <mergeCells count="20">
    <mergeCell ref="E2:E3"/>
    <mergeCell ref="F2:F3"/>
    <mergeCell ref="G2:G3"/>
    <mergeCell ref="H2:H3"/>
    <mergeCell ref="A13:A15"/>
    <mergeCell ref="F13:F14"/>
    <mergeCell ref="G13:G14"/>
    <mergeCell ref="E13:E14"/>
    <mergeCell ref="N13:N15"/>
    <mergeCell ref="E10:M10"/>
    <mergeCell ref="E7:M7"/>
    <mergeCell ref="N10:N12"/>
    <mergeCell ref="I11:K12"/>
    <mergeCell ref="L11:L12"/>
    <mergeCell ref="M11:M12"/>
    <mergeCell ref="E11:E12"/>
    <mergeCell ref="F11:F12"/>
    <mergeCell ref="I9:K9"/>
    <mergeCell ref="H13:H14"/>
    <mergeCell ref="G11:H11"/>
  </mergeCells>
  <dataValidations count="2">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L4">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 sqref="M4">
      <formula1>900</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EAEBEE"/>
    <pageSetUpPr fitToPage="1"/>
  </sheetPr>
  <dimension ref="A1:M16"/>
  <sheetViews>
    <sheetView showGridLines="0" zoomScale="90" workbookViewId="0">
      <pane xSplit="4" ySplit="11" topLeftCell="E12" activePane="bottomRight" state="frozen"/>
      <selection pane="topRight" activeCell="E1" sqref="E1"/>
      <selection pane="bottomLeft" activeCell="A12" sqref="A12"/>
      <selection pane="bottomRight"/>
    </sheetView>
  </sheetViews>
  <sheetFormatPr defaultColWidth="9.140625" defaultRowHeight="14.25" customHeight="1"/>
  <cols>
    <col min="1" max="1" width="9.140625" style="295" hidden="1"/>
    <col min="2" max="2" width="9.140625" style="1748" hidden="1"/>
    <col min="3" max="3" width="3" style="60" customWidth="1"/>
    <col min="4" max="4" width="6" style="1748" customWidth="1"/>
    <col min="5" max="5" width="22" style="1748" customWidth="1"/>
    <col min="6" max="6" width="15" style="1748" customWidth="1"/>
    <col min="7" max="7" width="14" style="1748" customWidth="1"/>
    <col min="8" max="8" width="47" style="1748" customWidth="1"/>
    <col min="9" max="9" width="115" style="1748" customWidth="1"/>
    <col min="10" max="10" width="3" style="1748" customWidth="1"/>
    <col min="11" max="12" width="8" style="1748" customWidth="1"/>
    <col min="13" max="13" width="9.140625" style="1748" hidden="1"/>
  </cols>
  <sheetData>
    <row r="1" spans="1:13" ht="14.25" hidden="1" customHeight="1">
      <c r="M1" s="61" t="s">
        <v>14</v>
      </c>
    </row>
    <row r="2" spans="1:13" ht="14.25" hidden="1" customHeight="1">
      <c r="M2" s="61">
        <v>0</v>
      </c>
    </row>
    <row r="3" spans="1:13" ht="14.25" hidden="1" customHeight="1">
      <c r="M3" s="61">
        <v>0</v>
      </c>
    </row>
    <row r="4" spans="1:13" ht="3" customHeight="1">
      <c r="M4" s="61">
        <v>3</v>
      </c>
    </row>
    <row r="5" spans="1:13" s="1562" customFormat="1" ht="31.5" customHeight="1">
      <c r="A5" s="55"/>
      <c r="C5" s="30"/>
      <c r="D5" s="2744" t="s">
        <v>1933</v>
      </c>
      <c r="E5" s="2744"/>
      <c r="F5" s="2744"/>
      <c r="G5" s="2744"/>
      <c r="H5" s="2744"/>
      <c r="I5" s="203"/>
      <c r="M5" s="23">
        <v>30</v>
      </c>
    </row>
    <row r="6" spans="1:13" ht="3" hidden="1" customHeight="1">
      <c r="D6" s="62"/>
      <c r="E6" s="62"/>
      <c r="F6" s="62"/>
      <c r="G6" s="62"/>
      <c r="H6" s="62"/>
      <c r="I6" s="62"/>
      <c r="M6" s="61">
        <v>0</v>
      </c>
    </row>
    <row r="7" spans="1:13" s="295" customFormat="1" ht="15" customHeight="1">
      <c r="B7" s="59"/>
      <c r="C7" s="60"/>
      <c r="D7" s="63"/>
      <c r="E7" s="63"/>
      <c r="F7" s="63"/>
      <c r="G7" s="63"/>
      <c r="H7" s="689"/>
      <c r="I7" s="63"/>
      <c r="J7" s="64"/>
      <c r="M7" s="58">
        <v>14</v>
      </c>
    </row>
    <row r="8" spans="1:13" ht="15" customHeight="1">
      <c r="D8" s="2857" t="s">
        <v>345</v>
      </c>
      <c r="E8" s="2857"/>
      <c r="F8" s="2857"/>
      <c r="G8" s="2857"/>
      <c r="H8" s="2857"/>
      <c r="I8" s="2857" t="s">
        <v>346</v>
      </c>
      <c r="M8" s="61">
        <v>14</v>
      </c>
    </row>
    <row r="9" spans="1:13" ht="29.25" customHeight="1">
      <c r="D9" s="2857" t="s">
        <v>93</v>
      </c>
      <c r="E9" s="2857" t="s">
        <v>1934</v>
      </c>
      <c r="F9" s="2857"/>
      <c r="G9" s="2857"/>
      <c r="H9" s="2857"/>
      <c r="I9" s="2857"/>
      <c r="M9" s="61">
        <v>28</v>
      </c>
    </row>
    <row r="10" spans="1:13" ht="24" customHeight="1">
      <c r="D10" s="2857"/>
      <c r="E10" s="67" t="s">
        <v>1935</v>
      </c>
      <c r="F10" s="67" t="s">
        <v>1936</v>
      </c>
      <c r="G10" s="67" t="s">
        <v>1937</v>
      </c>
      <c r="H10" s="67" t="s">
        <v>435</v>
      </c>
      <c r="I10" s="2857"/>
      <c r="M10" s="61">
        <v>23</v>
      </c>
    </row>
    <row r="11" spans="1:13" ht="12" hidden="1" customHeight="1">
      <c r="D11" s="27" t="s">
        <v>114</v>
      </c>
      <c r="E11" s="27" t="s">
        <v>96</v>
      </c>
      <c r="F11" s="27" t="s">
        <v>116</v>
      </c>
      <c r="G11" s="27" t="s">
        <v>97</v>
      </c>
      <c r="H11" s="27" t="s">
        <v>98</v>
      </c>
      <c r="I11" s="27" t="s">
        <v>117</v>
      </c>
      <c r="M11" s="61">
        <v>0</v>
      </c>
    </row>
    <row r="12" spans="1:13" s="1748" customFormat="1" ht="26.25" customHeight="1">
      <c r="A12" s="83" t="s">
        <v>95</v>
      </c>
      <c r="B12" s="65" t="s">
        <v>30</v>
      </c>
      <c r="C12" s="66"/>
      <c r="D12" s="68" t="s">
        <v>114</v>
      </c>
      <c r="E12" s="318"/>
      <c r="F12" s="318"/>
      <c r="G12" s="1660" t="s">
        <v>30</v>
      </c>
      <c r="H12" s="319"/>
      <c r="I12" s="2802" t="s">
        <v>1938</v>
      </c>
      <c r="K12" s="210"/>
      <c r="L12" s="211"/>
      <c r="M12" s="57">
        <v>25</v>
      </c>
    </row>
    <row r="13" spans="1:13" ht="15.75" customHeight="1">
      <c r="A13" s="61"/>
      <c r="B13" s="61"/>
      <c r="C13" s="61"/>
      <c r="D13" s="49"/>
      <c r="E13" s="70" t="s">
        <v>514</v>
      </c>
      <c r="F13" s="69"/>
      <c r="G13" s="69"/>
      <c r="H13" s="152"/>
      <c r="I13" s="2804"/>
      <c r="M13" s="61">
        <v>15</v>
      </c>
    </row>
    <row r="14" spans="1:13" ht="3" customHeight="1">
      <c r="A14" s="61"/>
      <c r="B14" s="61"/>
      <c r="C14" s="61"/>
      <c r="M14" s="61">
        <v>3</v>
      </c>
    </row>
    <row r="15" spans="1:13" ht="29.25" customHeight="1">
      <c r="E15" s="3088" t="s">
        <v>1939</v>
      </c>
      <c r="F15" s="3088"/>
      <c r="G15" s="3088"/>
      <c r="H15" s="3088"/>
      <c r="M15" s="61">
        <v>28</v>
      </c>
    </row>
    <row r="16" spans="1:13" ht="14.25" hidden="1" customHeight="1">
      <c r="A16" s="58" t="s">
        <v>87</v>
      </c>
      <c r="B16" s="59">
        <v>0</v>
      </c>
      <c r="C16" s="60">
        <v>3</v>
      </c>
      <c r="D16" s="61">
        <v>6</v>
      </c>
      <c r="E16" s="61">
        <v>22</v>
      </c>
      <c r="F16" s="61">
        <v>15</v>
      </c>
      <c r="G16" s="61">
        <v>14</v>
      </c>
      <c r="H16" s="61">
        <v>47</v>
      </c>
      <c r="I16" s="61">
        <v>115</v>
      </c>
      <c r="J16" s="61">
        <v>3</v>
      </c>
      <c r="K16" s="61">
        <v>8</v>
      </c>
      <c r="L16" s="61">
        <v>8</v>
      </c>
      <c r="M16" s="61">
        <v>14</v>
      </c>
    </row>
  </sheetData>
  <sheetProtection formatColumns="0" formatRows="0" insertRows="0" deleteColumns="0" deleteRows="0" sort="0" autoFilter="0"/>
  <mergeCells count="7">
    <mergeCell ref="E15:H15"/>
    <mergeCell ref="D5:H5"/>
    <mergeCell ref="I12:I13"/>
    <mergeCell ref="D8:H8"/>
    <mergeCell ref="I8:I10"/>
    <mergeCell ref="E9:H9"/>
    <mergeCell ref="D9:D10"/>
  </mergeCells>
  <dataValidations count="3">
    <dataValidation type="textLength" operator="lessThanOrEqual" allowBlank="1" showInputMessage="1" showErrorMessage="1" errorTitle="Ошибка" error="Допускается ввод не более 900 символов!" sqref="E12:F12">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12">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12"/>
  </dataValidations>
  <printOptions horizontalCentered="1"/>
  <pageMargins left="0.24" right="0.24" top="0.24" bottom="0.24" header="0.24" footer="0.24"/>
  <pageSetup paperSize="9" scale="70" fitToHeight="0" orientation="landscape"/>
  <headerFooter>
    <oddHeader>&amp;L&amp;C&amp;R</oddHeader>
    <oddFooter>&amp;L&amp;C&amp;R</oddFooter>
    <evenHeader>&amp;L&amp;C&amp;R</evenHeader>
    <evenFooter>&amp;L&amp;C&amp;R</evenFooter>
  </headerFooter>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J16"/>
  <sheetViews>
    <sheetView showGridLines="0" zoomScale="90" workbookViewId="0">
      <pane xSplit="4" ySplit="11" topLeftCell="E12" activePane="bottomRight" state="frozen"/>
      <selection pane="topRight" activeCell="E1" sqref="E1"/>
      <selection pane="bottomLeft" activeCell="A12" sqref="A12"/>
      <selection pane="bottomRight" activeCell="C12" sqref="A12:J12"/>
    </sheetView>
  </sheetViews>
  <sheetFormatPr defaultColWidth="9.140625" defaultRowHeight="14.25" customHeight="1"/>
  <cols>
    <col min="1" max="2" width="9.140625" style="202" hidden="1"/>
    <col min="3" max="3" width="3" style="31" customWidth="1"/>
    <col min="4" max="4" width="6" style="202" customWidth="1"/>
    <col min="5" max="5" width="94" style="202" customWidth="1"/>
    <col min="6" max="9" width="8" style="202" customWidth="1"/>
    <col min="10" max="10" width="9.140625" style="202" hidden="1"/>
  </cols>
  <sheetData>
    <row r="1" spans="1:10" ht="14.25" hidden="1" customHeight="1">
      <c r="J1" s="9" t="s">
        <v>14</v>
      </c>
    </row>
    <row r="2" spans="1:10" ht="14.25" hidden="1" customHeight="1">
      <c r="J2" s="9">
        <v>0</v>
      </c>
    </row>
    <row r="3" spans="1:10" ht="14.25" hidden="1" customHeight="1">
      <c r="J3" s="9">
        <v>0</v>
      </c>
    </row>
    <row r="4" spans="1:10" ht="14.25" hidden="1" customHeight="1">
      <c r="J4" s="9">
        <v>0</v>
      </c>
    </row>
    <row r="5" spans="1:10" ht="14.25" hidden="1" customHeight="1">
      <c r="J5" s="9">
        <v>0</v>
      </c>
    </row>
    <row r="6" spans="1:10" ht="3" customHeight="1">
      <c r="C6" s="32"/>
      <c r="D6" s="10"/>
      <c r="E6" s="10"/>
      <c r="J6" s="9">
        <v>3</v>
      </c>
    </row>
    <row r="7" spans="1:10" ht="23.25" customHeight="1">
      <c r="C7" s="32"/>
      <c r="D7" s="3089" t="s">
        <v>1940</v>
      </c>
      <c r="E7" s="3090"/>
      <c r="F7" s="205"/>
      <c r="J7" s="9">
        <v>22</v>
      </c>
    </row>
    <row r="8" spans="1:10" ht="3" customHeight="1">
      <c r="C8" s="32"/>
      <c r="D8" s="10"/>
      <c r="E8" s="10"/>
      <c r="J8" s="9">
        <v>3</v>
      </c>
    </row>
    <row r="9" spans="1:10" ht="16.5" customHeight="1">
      <c r="C9" s="32"/>
      <c r="D9" s="45" t="s">
        <v>93</v>
      </c>
      <c r="E9" s="198" t="s">
        <v>1941</v>
      </c>
      <c r="J9" s="9">
        <v>16</v>
      </c>
    </row>
    <row r="10" spans="1:10" ht="0.75" customHeight="1">
      <c r="C10" s="32"/>
      <c r="D10" s="27"/>
      <c r="E10" s="27"/>
      <c r="J10" s="9">
        <v>1</v>
      </c>
    </row>
    <row r="11" spans="1:10" ht="11.25" hidden="1" customHeight="1">
      <c r="C11" s="32"/>
      <c r="D11" s="88">
        <v>0</v>
      </c>
      <c r="E11" s="199"/>
      <c r="J11" s="9">
        <v>0</v>
      </c>
    </row>
    <row r="12" spans="1:10" ht="24" customHeight="1">
      <c r="C12" s="75"/>
      <c r="D12" s="53">
        <v>1</v>
      </c>
      <c r="E12" s="2011" t="s">
        <v>1942</v>
      </c>
      <c r="J12" s="9">
        <v>15</v>
      </c>
    </row>
    <row r="13" spans="1:10" ht="12.75" customHeight="1">
      <c r="C13" s="32"/>
      <c r="D13" s="200"/>
      <c r="E13" s="201" t="s">
        <v>1943</v>
      </c>
      <c r="J13" s="9">
        <v>12</v>
      </c>
    </row>
    <row r="14" spans="1:10" ht="3" customHeight="1">
      <c r="J14" s="9">
        <v>3</v>
      </c>
    </row>
    <row r="15" spans="1:10" ht="23.25" customHeight="1">
      <c r="C15" s="76"/>
      <c r="D15" s="3088" t="s">
        <v>1944</v>
      </c>
      <c r="E15" s="3088"/>
      <c r="F15" s="77"/>
      <c r="G15" s="77"/>
      <c r="H15" s="77"/>
      <c r="I15" s="77"/>
      <c r="J15" s="9">
        <v>22</v>
      </c>
    </row>
    <row r="16" spans="1:10" ht="14.25" hidden="1" customHeight="1">
      <c r="A16" s="9" t="s">
        <v>87</v>
      </c>
      <c r="B16" s="9">
        <v>0</v>
      </c>
      <c r="C16" s="31">
        <v>3</v>
      </c>
      <c r="D16" s="9">
        <v>6</v>
      </c>
      <c r="E16" s="9">
        <v>94</v>
      </c>
      <c r="F16" s="9">
        <v>8</v>
      </c>
      <c r="G16" s="9">
        <v>8</v>
      </c>
      <c r="H16" s="9">
        <v>8</v>
      </c>
      <c r="I16" s="9">
        <v>8</v>
      </c>
      <c r="J16" s="9">
        <v>14</v>
      </c>
    </row>
  </sheetData>
  <sheetProtection formatColumns="0" formatRows="0" insertRows="0" deleteColumns="0" deleteRows="0" sort="0" autoFilter="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pageSetUpPr fitToPage="1"/>
  </sheetPr>
  <dimension ref="A1:M13"/>
  <sheetViews>
    <sheetView showGridLines="0" topLeftCell="C6" zoomScale="90" workbookViewId="0"/>
  </sheetViews>
  <sheetFormatPr defaultColWidth="9.140625" defaultRowHeight="14.25" customHeight="1"/>
  <cols>
    <col min="1" max="2" width="9.140625" style="202" hidden="1"/>
    <col min="3" max="3" width="3" style="31" customWidth="1"/>
    <col min="4" max="4" width="6" style="202" customWidth="1"/>
    <col min="5" max="5" width="94" style="202" customWidth="1"/>
    <col min="6" max="12" width="8" style="202" customWidth="1"/>
    <col min="13" max="13" width="9.140625" style="202" hidden="1"/>
  </cols>
  <sheetData>
    <row r="1" spans="1:13" ht="14.25" hidden="1" customHeight="1">
      <c r="M1" s="9" t="s">
        <v>14</v>
      </c>
    </row>
    <row r="2" spans="1:13" ht="14.25" hidden="1" customHeight="1">
      <c r="M2" s="9">
        <v>0</v>
      </c>
    </row>
    <row r="3" spans="1:13" ht="14.25" hidden="1" customHeight="1">
      <c r="M3" s="9">
        <v>0</v>
      </c>
    </row>
    <row r="4" spans="1:13" ht="14.25" hidden="1" customHeight="1">
      <c r="M4" s="9">
        <v>0</v>
      </c>
    </row>
    <row r="5" spans="1:13" ht="14.25" hidden="1" customHeight="1">
      <c r="M5" s="9">
        <v>0</v>
      </c>
    </row>
    <row r="6" spans="1:13" ht="3" customHeight="1">
      <c r="C6" s="32"/>
      <c r="D6" s="10"/>
      <c r="E6" s="10"/>
      <c r="M6" s="9">
        <v>3</v>
      </c>
    </row>
    <row r="7" spans="1:13" ht="23.25" customHeight="1">
      <c r="C7" s="32"/>
      <c r="D7" s="2744" t="s">
        <v>1945</v>
      </c>
      <c r="E7" s="2744"/>
      <c r="F7" s="205"/>
      <c r="M7" s="9">
        <v>22</v>
      </c>
    </row>
    <row r="8" spans="1:13" ht="3" customHeight="1">
      <c r="C8" s="32"/>
      <c r="D8" s="10"/>
      <c r="E8" s="10"/>
      <c r="M8" s="9">
        <v>3</v>
      </c>
    </row>
    <row r="9" spans="1:13" ht="16.5" customHeight="1">
      <c r="C9" s="32"/>
      <c r="D9" s="45" t="s">
        <v>93</v>
      </c>
      <c r="E9" s="48" t="s">
        <v>332</v>
      </c>
      <c r="M9" s="9">
        <v>16</v>
      </c>
    </row>
    <row r="10" spans="1:13" ht="12.75" customHeight="1">
      <c r="C10" s="32"/>
      <c r="D10" s="27" t="s">
        <v>114</v>
      </c>
      <c r="E10" s="27" t="s">
        <v>115</v>
      </c>
      <c r="M10" s="9">
        <v>12</v>
      </c>
    </row>
    <row r="11" spans="1:13" ht="15" hidden="1" customHeight="1">
      <c r="C11" s="32"/>
      <c r="D11" s="53">
        <v>0</v>
      </c>
      <c r="E11" s="87"/>
      <c r="M11" s="9">
        <v>0</v>
      </c>
    </row>
    <row r="12" spans="1:13" ht="15" customHeight="1">
      <c r="C12" s="32"/>
      <c r="D12" s="49"/>
      <c r="E12" s="47" t="s">
        <v>1943</v>
      </c>
      <c r="M12" s="9">
        <v>14</v>
      </c>
    </row>
    <row r="13" spans="1:13" ht="14.25" hidden="1" customHeight="1">
      <c r="A13" s="9" t="s">
        <v>87</v>
      </c>
      <c r="B13" s="9">
        <v>0</v>
      </c>
      <c r="C13" s="31">
        <v>3</v>
      </c>
      <c r="D13" s="9">
        <v>6</v>
      </c>
      <c r="E13" s="9">
        <v>94</v>
      </c>
      <c r="F13" s="9">
        <v>8</v>
      </c>
      <c r="G13" s="9">
        <v>8</v>
      </c>
      <c r="H13" s="9">
        <v>8</v>
      </c>
      <c r="I13" s="9">
        <v>8</v>
      </c>
      <c r="J13" s="9">
        <v>8</v>
      </c>
      <c r="K13" s="9">
        <v>8</v>
      </c>
      <c r="L13" s="9">
        <v>8</v>
      </c>
      <c r="M13" s="9">
        <v>14</v>
      </c>
    </row>
  </sheetData>
  <sheetProtection formatColumns="0" formatRows="0" insertRows="0" deleteColumns="0" deleteRows="0" sort="0" autoFilter="0"/>
  <mergeCells count="1">
    <mergeCell ref="D7:E7"/>
  </mergeCells>
  <dataValidations count="1">
    <dataValidation type="textLength" operator="lessThanOrEqual" allowBlank="1" showInputMessage="1" showErrorMessage="1" errorTitle="Ошибка" error="Допускается ввод не более 900 символов!" sqref="E11">
      <formula1>900</formula1>
    </dataValidation>
  </dataValidations>
  <pageMargins left="0.75" right="0.75" top="1" bottom="1" header="0.5" footer="0.5"/>
  <pageSetup paperSize="9" scale="94"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BM50"/>
  <sheetViews>
    <sheetView showGridLines="0" zoomScale="90" workbookViewId="0">
      <pane xSplit="10" ySplit="10" topLeftCell="K11" activePane="bottomRight" state="frozen"/>
      <selection pane="topRight" activeCell="K1" sqref="K1"/>
      <selection pane="bottomLeft" activeCell="A11" sqref="A11"/>
      <selection pane="bottomRight"/>
    </sheetView>
  </sheetViews>
  <sheetFormatPr defaultColWidth="9.140625" defaultRowHeight="11.25" customHeight="1"/>
  <cols>
    <col min="1" max="2" width="9.140625" style="1775" hidden="1"/>
    <col min="3" max="4" width="3" style="1775" customWidth="1"/>
    <col min="5" max="6" width="15" style="1775" customWidth="1"/>
    <col min="7" max="7" width="11.5703125" style="1775" customWidth="1"/>
    <col min="8" max="9" width="3" style="1775" customWidth="1"/>
    <col min="10" max="10" width="12" style="1775" customWidth="1"/>
    <col min="11" max="11" width="0.28515625" style="1775" customWidth="1"/>
    <col min="12" max="13" width="10" style="1775" customWidth="1"/>
    <col min="14" max="15" width="3" style="1775" customWidth="1"/>
    <col min="16" max="16" width="19" style="1775" customWidth="1"/>
    <col min="17" max="17" width="0.28515625" style="1775" customWidth="1"/>
    <col min="18" max="19" width="10" style="1775" customWidth="1"/>
    <col min="20" max="21" width="3" style="1775" customWidth="1"/>
    <col min="22" max="22" width="25" style="1775" customWidth="1"/>
    <col min="23" max="23" width="0.28515625" style="1775" customWidth="1"/>
    <col min="24" max="25" width="10" style="1775" customWidth="1"/>
    <col min="26" max="27" width="3" style="1775" customWidth="1"/>
    <col min="28" max="28" width="16" style="1775" customWidth="1"/>
    <col min="29" max="29" width="0.28515625" style="1775" customWidth="1"/>
    <col min="30" max="31" width="10" style="1775" customWidth="1"/>
    <col min="32" max="33" width="3" style="1775" customWidth="1"/>
    <col min="34" max="34" width="8" style="1775" customWidth="1"/>
    <col min="35" max="35" width="21" style="1775" customWidth="1"/>
    <col min="36" max="36" width="8" style="1775" customWidth="1"/>
    <col min="37" max="37" width="8" style="295" customWidth="1"/>
    <col min="38" max="64" width="8" style="1775" customWidth="1"/>
    <col min="65" max="65" width="9.140625" style="1775" hidden="1"/>
  </cols>
  <sheetData>
    <row r="1" spans="1:65" s="1243" customFormat="1" ht="11.25" hidden="1" customHeight="1">
      <c r="AJ1" s="359"/>
      <c r="AK1" s="359"/>
      <c r="AL1" s="359"/>
      <c r="AM1" s="359"/>
      <c r="AN1" s="359"/>
      <c r="AO1" s="359"/>
      <c r="AP1" s="359"/>
      <c r="AQ1" s="359"/>
      <c r="AR1" s="359"/>
      <c r="AS1" s="359"/>
      <c r="AT1" s="359"/>
      <c r="AU1" s="359"/>
      <c r="AV1" s="359"/>
      <c r="AW1" s="359"/>
      <c r="AX1" s="359"/>
      <c r="AY1" s="359"/>
      <c r="AZ1" s="359"/>
      <c r="BA1" s="359"/>
      <c r="BB1" s="359"/>
      <c r="BC1" s="359"/>
      <c r="BD1" s="359"/>
      <c r="BE1" s="359"/>
      <c r="BF1" s="359"/>
      <c r="BG1" s="359"/>
      <c r="BH1" s="359"/>
      <c r="BI1" s="359"/>
      <c r="BJ1" s="359"/>
      <c r="BK1" s="359"/>
      <c r="BL1" s="359"/>
      <c r="BM1" s="356" t="s">
        <v>14</v>
      </c>
    </row>
    <row r="2" spans="1:65" s="1480" customFormat="1" ht="11.25" hidden="1" customHeight="1">
      <c r="L2" s="1480" t="s">
        <v>324</v>
      </c>
      <c r="M2" s="1480" t="s">
        <v>325</v>
      </c>
      <c r="R2" s="1480" t="s">
        <v>326</v>
      </c>
      <c r="S2" s="1480" t="s">
        <v>325</v>
      </c>
      <c r="X2" s="1480" t="s">
        <v>324</v>
      </c>
      <c r="Y2" s="1480" t="s">
        <v>325</v>
      </c>
      <c r="AD2" s="1480" t="s">
        <v>324</v>
      </c>
      <c r="AE2" s="1480" t="s">
        <v>325</v>
      </c>
      <c r="AJ2" s="1502"/>
      <c r="AK2" s="1502"/>
      <c r="AL2" s="1502"/>
      <c r="AM2" s="1502"/>
      <c r="AN2" s="1502"/>
      <c r="AO2" s="1502"/>
      <c r="AP2" s="1502"/>
      <c r="AQ2" s="1502"/>
      <c r="AR2" s="1502"/>
      <c r="AS2" s="1502"/>
      <c r="AT2" s="1502"/>
      <c r="AU2" s="1502"/>
      <c r="AV2" s="1502"/>
      <c r="AW2" s="1502"/>
      <c r="AX2" s="1502"/>
      <c r="AY2" s="1502"/>
      <c r="AZ2" s="1502"/>
      <c r="BA2" s="1502"/>
      <c r="BB2" s="1502"/>
      <c r="BC2" s="1502"/>
      <c r="BD2" s="1502"/>
      <c r="BE2" s="1502"/>
      <c r="BF2" s="1502"/>
      <c r="BG2" s="1502"/>
      <c r="BH2" s="1502"/>
      <c r="BI2" s="1502"/>
      <c r="BJ2" s="1502"/>
      <c r="BK2" s="1502"/>
      <c r="BL2" s="1502"/>
      <c r="BM2" s="1480">
        <v>0</v>
      </c>
    </row>
    <row r="3" spans="1:65" s="1481" customFormat="1" ht="11.25" customHeight="1">
      <c r="AJ3" s="1501"/>
      <c r="AK3" s="244"/>
      <c r="AL3" s="1501"/>
      <c r="AM3" s="1501"/>
      <c r="AN3" s="1501"/>
      <c r="AO3" s="1501"/>
      <c r="AP3" s="1501"/>
      <c r="AQ3" s="1501"/>
      <c r="AR3" s="1501"/>
      <c r="AS3" s="1501"/>
      <c r="AT3" s="1501"/>
      <c r="AU3" s="1501"/>
      <c r="AV3" s="1501"/>
      <c r="AW3" s="1501"/>
      <c r="AX3" s="1501"/>
      <c r="AY3" s="1501"/>
      <c r="AZ3" s="1501"/>
      <c r="BA3" s="1501"/>
      <c r="BB3" s="1501"/>
      <c r="BC3" s="1501"/>
      <c r="BD3" s="1501"/>
      <c r="BE3" s="1501"/>
      <c r="BF3" s="1501"/>
      <c r="BG3" s="1501"/>
      <c r="BH3" s="1501"/>
      <c r="BI3" s="1501"/>
      <c r="BJ3" s="1501"/>
      <c r="BK3" s="1501"/>
      <c r="BL3" s="1501"/>
      <c r="BM3" s="1481">
        <v>11</v>
      </c>
    </row>
    <row r="4" spans="1:65" s="1745" customFormat="1" ht="34.5" customHeight="1">
      <c r="A4" s="1083"/>
      <c r="B4" s="1082"/>
      <c r="C4" s="1442"/>
      <c r="D4" s="2828" t="s">
        <v>327</v>
      </c>
      <c r="E4" s="2828"/>
      <c r="F4" s="2828"/>
      <c r="G4" s="2828"/>
      <c r="H4" s="2828"/>
      <c r="I4" s="2828"/>
      <c r="J4" s="2828"/>
      <c r="K4" s="636"/>
      <c r="T4" s="1482"/>
      <c r="AJ4" s="1503"/>
      <c r="AK4" s="1504"/>
      <c r="AL4" s="1503"/>
      <c r="AM4" s="1503"/>
      <c r="AN4" s="1503"/>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444">
        <v>33</v>
      </c>
    </row>
    <row r="5" spans="1:65" s="1745" customFormat="1" ht="15" customHeight="1">
      <c r="A5" s="1559"/>
      <c r="B5" s="1558"/>
      <c r="C5" s="1442"/>
      <c r="D5" s="2849" t="str">
        <f>IF(org=0,"Не определено",org)</f>
        <v>ТМУП "ТТС"</v>
      </c>
      <c r="E5" s="2849"/>
      <c r="F5" s="2849"/>
      <c r="G5" s="2849"/>
      <c r="H5" s="2849"/>
      <c r="I5" s="2849"/>
      <c r="J5" s="2849"/>
      <c r="K5" s="636"/>
      <c r="T5" s="1482"/>
      <c r="AJ5" s="1503"/>
      <c r="AK5" s="1504"/>
      <c r="AL5" s="1503"/>
      <c r="AM5" s="1503"/>
      <c r="AN5" s="1503"/>
      <c r="AO5" s="1503"/>
      <c r="AP5" s="1503"/>
      <c r="AQ5" s="1503"/>
      <c r="AR5" s="1503"/>
      <c r="AS5" s="1503"/>
      <c r="AT5" s="1503"/>
      <c r="AU5" s="1503"/>
      <c r="AV5" s="1503"/>
      <c r="AW5" s="1503"/>
      <c r="AX5" s="1503"/>
      <c r="AY5" s="1503"/>
      <c r="AZ5" s="1503"/>
      <c r="BA5" s="1503"/>
      <c r="BB5" s="1503"/>
      <c r="BC5" s="1503"/>
      <c r="BD5" s="1503"/>
      <c r="BE5" s="1503"/>
      <c r="BF5" s="1503"/>
      <c r="BG5" s="1503"/>
      <c r="BH5" s="1503"/>
      <c r="BI5" s="1503"/>
      <c r="BJ5" s="1503"/>
      <c r="BK5" s="1503"/>
      <c r="BL5" s="1503"/>
      <c r="BM5" s="1536">
        <v>14</v>
      </c>
    </row>
    <row r="6" spans="1:65" s="1745" customFormat="1" ht="15" customHeight="1">
      <c r="A6" s="1083"/>
      <c r="B6" s="1082"/>
      <c r="C6" s="1442"/>
      <c r="D6" s="636"/>
      <c r="E6" s="636"/>
      <c r="F6" s="636"/>
      <c r="G6" s="636"/>
      <c r="H6" s="636"/>
      <c r="I6" s="636"/>
      <c r="J6" s="636"/>
      <c r="K6" s="636"/>
      <c r="T6" s="1482"/>
      <c r="AJ6" s="1503"/>
      <c r="AK6" s="1504"/>
      <c r="AL6" s="1503"/>
      <c r="AM6" s="1503"/>
      <c r="AN6" s="1503"/>
      <c r="AO6" s="1503"/>
      <c r="AP6" s="1503"/>
      <c r="AQ6" s="1503"/>
      <c r="AR6" s="1503"/>
      <c r="AS6" s="1503"/>
      <c r="AT6" s="1503"/>
      <c r="AU6" s="1503"/>
      <c r="AV6" s="1503"/>
      <c r="AW6" s="1503"/>
      <c r="AX6" s="1503"/>
      <c r="AY6" s="1503"/>
      <c r="AZ6" s="1503"/>
      <c r="BA6" s="1503"/>
      <c r="BB6" s="1503"/>
      <c r="BC6" s="1503"/>
      <c r="BD6" s="1503"/>
      <c r="BE6" s="1503"/>
      <c r="BF6" s="1503"/>
      <c r="BG6" s="1503"/>
      <c r="BH6" s="1503"/>
      <c r="BI6" s="1503"/>
      <c r="BJ6" s="1503"/>
      <c r="BK6" s="1503"/>
      <c r="BL6" s="1503"/>
      <c r="BM6" s="444">
        <v>14</v>
      </c>
    </row>
    <row r="7" spans="1:65" s="1243" customFormat="1" ht="0.75" customHeight="1">
      <c r="AJ7" s="359"/>
      <c r="AK7" s="359"/>
      <c r="AL7" s="359"/>
      <c r="AM7" s="359"/>
      <c r="AN7" s="359"/>
      <c r="AO7" s="359"/>
      <c r="AP7" s="359"/>
      <c r="AQ7" s="359"/>
      <c r="AR7" s="359"/>
      <c r="AS7" s="359"/>
      <c r="AT7" s="359"/>
      <c r="AU7" s="359"/>
      <c r="AV7" s="359"/>
      <c r="AW7" s="359"/>
      <c r="AX7" s="359"/>
      <c r="AY7" s="359"/>
      <c r="AZ7" s="359"/>
      <c r="BA7" s="359"/>
      <c r="BB7" s="359"/>
      <c r="BC7" s="359"/>
      <c r="BD7" s="359"/>
      <c r="BE7" s="359"/>
      <c r="BF7" s="359"/>
      <c r="BG7" s="359"/>
      <c r="BH7" s="359"/>
      <c r="BI7" s="359"/>
      <c r="BJ7" s="359"/>
      <c r="BK7" s="359"/>
      <c r="BL7" s="359"/>
      <c r="BM7" s="356">
        <v>1</v>
      </c>
    </row>
    <row r="8" spans="1:65" ht="33.75" customHeight="1">
      <c r="D8" s="2758" t="s">
        <v>93</v>
      </c>
      <c r="E8" s="2758" t="s">
        <v>110</v>
      </c>
      <c r="F8" s="2830" t="s">
        <v>127</v>
      </c>
      <c r="G8" s="2831"/>
      <c r="H8" s="2830" t="s">
        <v>93</v>
      </c>
      <c r="I8" s="2831"/>
      <c r="J8" s="2758" t="s">
        <v>128</v>
      </c>
      <c r="K8" s="1483"/>
      <c r="L8" s="2829" t="s">
        <v>328</v>
      </c>
      <c r="M8" s="2829"/>
      <c r="N8" s="2829"/>
      <c r="O8" s="2829"/>
      <c r="P8" s="2829"/>
      <c r="Q8" s="1484"/>
      <c r="R8" s="2740" t="s">
        <v>329</v>
      </c>
      <c r="S8" s="2745"/>
      <c r="T8" s="2745"/>
      <c r="U8" s="2745"/>
      <c r="V8" s="2745"/>
      <c r="W8" s="1484"/>
      <c r="X8" s="2758" t="s">
        <v>330</v>
      </c>
      <c r="Y8" s="2758"/>
      <c r="Z8" s="2758"/>
      <c r="AA8" s="2758"/>
      <c r="AB8" s="2758"/>
      <c r="AC8" s="1485"/>
      <c r="AD8" s="2758" t="s">
        <v>331</v>
      </c>
      <c r="AE8" s="2758"/>
      <c r="AF8" s="2758"/>
      <c r="AG8" s="2758"/>
      <c r="AH8" s="2740"/>
      <c r="AI8" s="2758" t="s">
        <v>332</v>
      </c>
      <c r="AJ8" s="1501"/>
      <c r="BM8" s="231">
        <v>32</v>
      </c>
    </row>
    <row r="9" spans="1:65" ht="23.25" customHeight="1">
      <c r="D9" s="2758"/>
      <c r="E9" s="2758"/>
      <c r="F9" s="2829" t="s">
        <v>94</v>
      </c>
      <c r="G9" s="2829" t="s">
        <v>133</v>
      </c>
      <c r="H9" s="2832"/>
      <c r="I9" s="2833"/>
      <c r="J9" s="2740"/>
      <c r="K9" s="1486"/>
      <c r="L9" s="2758" t="s">
        <v>333</v>
      </c>
      <c r="M9" s="2740"/>
      <c r="N9" s="2830" t="s">
        <v>93</v>
      </c>
      <c r="O9" s="2831"/>
      <c r="P9" s="2758" t="s">
        <v>134</v>
      </c>
      <c r="Q9" s="1483"/>
      <c r="R9" s="2758" t="s">
        <v>333</v>
      </c>
      <c r="S9" s="2740"/>
      <c r="T9" s="2830" t="s">
        <v>93</v>
      </c>
      <c r="U9" s="2831"/>
      <c r="V9" s="2758" t="s">
        <v>134</v>
      </c>
      <c r="W9" s="1483"/>
      <c r="X9" s="2758" t="s">
        <v>333</v>
      </c>
      <c r="Y9" s="2740"/>
      <c r="Z9" s="2830" t="s">
        <v>93</v>
      </c>
      <c r="AA9" s="2831"/>
      <c r="AB9" s="2758" t="s">
        <v>334</v>
      </c>
      <c r="AC9" s="1483"/>
      <c r="AD9" s="2758" t="s">
        <v>333</v>
      </c>
      <c r="AE9" s="2740"/>
      <c r="AF9" s="2830" t="s">
        <v>93</v>
      </c>
      <c r="AG9" s="2831"/>
      <c r="AH9" s="2740" t="s">
        <v>334</v>
      </c>
      <c r="AI9" s="2758"/>
      <c r="AJ9" s="1501"/>
      <c r="BM9" s="231">
        <v>22</v>
      </c>
    </row>
    <row r="10" spans="1:65" ht="24" customHeight="1">
      <c r="D10" s="2829"/>
      <c r="E10" s="2829"/>
      <c r="F10" s="2834"/>
      <c r="G10" s="2834"/>
      <c r="H10" s="2835"/>
      <c r="I10" s="2836"/>
      <c r="J10" s="2830"/>
      <c r="K10" s="1486"/>
      <c r="L10" s="1505" t="s">
        <v>335</v>
      </c>
      <c r="M10" s="1500" t="s">
        <v>336</v>
      </c>
      <c r="N10" s="2832"/>
      <c r="O10" s="2833"/>
      <c r="P10" s="2829"/>
      <c r="Q10" s="1483"/>
      <c r="R10" s="1505" t="s">
        <v>335</v>
      </c>
      <c r="S10" s="1500" t="s">
        <v>336</v>
      </c>
      <c r="T10" s="2832"/>
      <c r="U10" s="2833"/>
      <c r="V10" s="2829"/>
      <c r="W10" s="1483"/>
      <c r="X10" s="1505" t="s">
        <v>335</v>
      </c>
      <c r="Y10" s="1500" t="s">
        <v>336</v>
      </c>
      <c r="Z10" s="2832"/>
      <c r="AA10" s="2833"/>
      <c r="AB10" s="2829"/>
      <c r="AC10" s="1483"/>
      <c r="AD10" s="1505" t="s">
        <v>335</v>
      </c>
      <c r="AE10" s="1500" t="s">
        <v>336</v>
      </c>
      <c r="AF10" s="2832"/>
      <c r="AG10" s="2833"/>
      <c r="AH10" s="2830"/>
      <c r="AI10" s="2829"/>
      <c r="AJ10" s="1501"/>
      <c r="AK10" s="192" t="s">
        <v>337</v>
      </c>
      <c r="AL10" s="192" t="s">
        <v>135</v>
      </c>
      <c r="BM10" s="231">
        <v>23</v>
      </c>
    </row>
    <row r="11" spans="1:65" ht="15" customHeight="1">
      <c r="D11" s="2837" t="s">
        <v>114</v>
      </c>
      <c r="E11" s="2839" t="s">
        <v>338</v>
      </c>
      <c r="F11" s="2839" t="s">
        <v>339</v>
      </c>
      <c r="G11" s="2821" t="s">
        <v>19</v>
      </c>
      <c r="H11" s="1526"/>
      <c r="I11" s="2842"/>
      <c r="J11" s="2786"/>
      <c r="K11" s="1441"/>
      <c r="L11" s="2778"/>
      <c r="M11" s="2778"/>
      <c r="N11" s="1511"/>
      <c r="O11" s="2778"/>
      <c r="P11" s="2786"/>
      <c r="Q11" s="1512"/>
      <c r="R11" s="2778"/>
      <c r="S11" s="2778"/>
      <c r="T11" s="1513"/>
      <c r="U11" s="2778"/>
      <c r="V11" s="2786"/>
      <c r="W11" s="1514"/>
      <c r="X11" s="2778"/>
      <c r="Y11" s="2778"/>
      <c r="Z11" s="1511"/>
      <c r="AA11" s="2778"/>
      <c r="AB11" s="2786"/>
      <c r="AC11" s="1515"/>
      <c r="AD11" s="2778"/>
      <c r="AE11" s="2778"/>
      <c r="AF11" s="1440"/>
      <c r="AG11" s="1440"/>
      <c r="AH11" s="1516"/>
      <c r="AI11" s="1223"/>
      <c r="AJ11" s="1501"/>
      <c r="BM11" s="231">
        <v>14</v>
      </c>
    </row>
    <row r="12" spans="1:65" ht="15" customHeight="1">
      <c r="D12" s="2837"/>
      <c r="E12" s="2839"/>
      <c r="F12" s="2839"/>
      <c r="G12" s="2822"/>
      <c r="H12" s="1527"/>
      <c r="I12" s="2843"/>
      <c r="J12" s="2787"/>
      <c r="K12" s="1537"/>
      <c r="L12" s="2779"/>
      <c r="M12" s="2779"/>
      <c r="N12" s="1517"/>
      <c r="O12" s="2779"/>
      <c r="P12" s="2787"/>
      <c r="Q12" s="1518"/>
      <c r="R12" s="2779"/>
      <c r="S12" s="2779"/>
      <c r="T12" s="1519"/>
      <c r="U12" s="2779"/>
      <c r="V12" s="2787"/>
      <c r="W12" s="1520"/>
      <c r="X12" s="2779"/>
      <c r="Y12" s="2779"/>
      <c r="Z12" s="1517"/>
      <c r="AA12" s="2779"/>
      <c r="AB12" s="2787"/>
      <c r="AC12" s="1521"/>
      <c r="AD12" s="2779"/>
      <c r="AE12" s="2779"/>
      <c r="AF12" s="1522"/>
      <c r="AG12" s="1522"/>
      <c r="AH12" s="2846"/>
      <c r="AI12" s="2847"/>
      <c r="AJ12" s="1501"/>
      <c r="BM12" s="231">
        <v>14</v>
      </c>
    </row>
    <row r="13" spans="1:65" ht="15" customHeight="1">
      <c r="D13" s="2837"/>
      <c r="E13" s="2839"/>
      <c r="F13" s="2839"/>
      <c r="G13" s="2822"/>
      <c r="H13" s="1527"/>
      <c r="I13" s="2843"/>
      <c r="J13" s="2787"/>
      <c r="K13" s="1537"/>
      <c r="L13" s="2779"/>
      <c r="M13" s="2779"/>
      <c r="N13" s="1517"/>
      <c r="O13" s="2779"/>
      <c r="P13" s="2787"/>
      <c r="Q13" s="1518"/>
      <c r="R13" s="2779"/>
      <c r="S13" s="2779"/>
      <c r="T13" s="1519"/>
      <c r="U13" s="2779"/>
      <c r="V13" s="2787"/>
      <c r="W13" s="1520"/>
      <c r="X13" s="2779"/>
      <c r="Y13" s="2779"/>
      <c r="Z13" s="1439"/>
      <c r="AA13" s="1522"/>
      <c r="AB13" s="2846"/>
      <c r="AC13" s="2846"/>
      <c r="AD13" s="2846"/>
      <c r="AE13" s="2846"/>
      <c r="AF13" s="2846"/>
      <c r="AG13" s="2846"/>
      <c r="AH13" s="2846"/>
      <c r="AI13" s="2847"/>
      <c r="AJ13" s="1501"/>
      <c r="BM13" s="231">
        <v>14</v>
      </c>
    </row>
    <row r="14" spans="1:65" ht="15" customHeight="1">
      <c r="D14" s="2837"/>
      <c r="E14" s="2839"/>
      <c r="F14" s="2839"/>
      <c r="G14" s="2822"/>
      <c r="H14" s="1527"/>
      <c r="I14" s="2843"/>
      <c r="J14" s="2787"/>
      <c r="K14" s="1537"/>
      <c r="L14" s="2779"/>
      <c r="M14" s="2779"/>
      <c r="N14" s="1517"/>
      <c r="O14" s="2779"/>
      <c r="P14" s="2787"/>
      <c r="Q14" s="1518"/>
      <c r="R14" s="2779"/>
      <c r="S14" s="2779"/>
      <c r="T14" s="1523"/>
      <c r="U14" s="1524"/>
      <c r="V14" s="2846"/>
      <c r="W14" s="2846"/>
      <c r="X14" s="2846"/>
      <c r="Y14" s="2846"/>
      <c r="Z14" s="2846"/>
      <c r="AA14" s="2846"/>
      <c r="AB14" s="2846"/>
      <c r="AC14" s="2846"/>
      <c r="AD14" s="2846"/>
      <c r="AE14" s="2846"/>
      <c r="AF14" s="2846"/>
      <c r="AG14" s="2846"/>
      <c r="AH14" s="2846"/>
      <c r="AI14" s="2847"/>
      <c r="AJ14" s="1501"/>
      <c r="BM14" s="231">
        <v>14</v>
      </c>
    </row>
    <row r="15" spans="1:65" ht="11.25" customHeight="1">
      <c r="D15" s="2837"/>
      <c r="E15" s="2839"/>
      <c r="F15" s="2839"/>
      <c r="G15" s="2822"/>
      <c r="H15" s="1528"/>
      <c r="I15" s="2843"/>
      <c r="J15" s="2787"/>
      <c r="K15" s="1537"/>
      <c r="L15" s="2779"/>
      <c r="M15" s="2779"/>
      <c r="N15" s="1522"/>
      <c r="O15" s="1522"/>
      <c r="P15" s="2846"/>
      <c r="Q15" s="2846"/>
      <c r="R15" s="2846"/>
      <c r="S15" s="2846"/>
      <c r="T15" s="2846"/>
      <c r="U15" s="2846"/>
      <c r="V15" s="2846"/>
      <c r="W15" s="2846"/>
      <c r="X15" s="2846"/>
      <c r="Y15" s="2846"/>
      <c r="Z15" s="2846"/>
      <c r="AA15" s="2846"/>
      <c r="AB15" s="2846"/>
      <c r="AC15" s="2846"/>
      <c r="AD15" s="2846"/>
      <c r="AE15" s="2846"/>
      <c r="AF15" s="2846"/>
      <c r="AG15" s="2846"/>
      <c r="AH15" s="2846"/>
      <c r="AI15" s="2847"/>
      <c r="AJ15" s="1501"/>
      <c r="BM15" s="231">
        <v>11</v>
      </c>
    </row>
    <row r="16" spans="1:65" s="1481" customFormat="1" ht="11.25" customHeight="1">
      <c r="D16" s="2838"/>
      <c r="E16" s="2840"/>
      <c r="F16" s="2841"/>
      <c r="G16" s="2773"/>
      <c r="H16" s="1525"/>
      <c r="I16" s="1529"/>
      <c r="J16" s="2844"/>
      <c r="K16" s="2844"/>
      <c r="L16" s="2844"/>
      <c r="M16" s="2844"/>
      <c r="N16" s="2844"/>
      <c r="O16" s="2844"/>
      <c r="P16" s="2844"/>
      <c r="Q16" s="2844"/>
      <c r="R16" s="2844"/>
      <c r="S16" s="2844"/>
      <c r="T16" s="2844"/>
      <c r="U16" s="2844"/>
      <c r="V16" s="2844"/>
      <c r="W16" s="2844"/>
      <c r="X16" s="2844"/>
      <c r="Y16" s="2844"/>
      <c r="Z16" s="2844"/>
      <c r="AA16" s="2844"/>
      <c r="AB16" s="2844"/>
      <c r="AC16" s="2844"/>
      <c r="AD16" s="2844"/>
      <c r="AE16" s="2844"/>
      <c r="AF16" s="2844"/>
      <c r="AG16" s="2844"/>
      <c r="AH16" s="2844"/>
      <c r="AI16" s="2845"/>
      <c r="AJ16" s="1501"/>
      <c r="AK16" s="244"/>
      <c r="AL16" s="1501"/>
      <c r="AM16" s="1501"/>
      <c r="AN16" s="1501"/>
      <c r="AO16" s="1501"/>
      <c r="AP16" s="1501"/>
      <c r="AQ16" s="1501"/>
      <c r="AR16" s="1501"/>
      <c r="AS16" s="1501"/>
      <c r="AT16" s="1501"/>
      <c r="AU16" s="1501"/>
      <c r="AV16" s="1501"/>
      <c r="AW16" s="1501"/>
      <c r="AX16" s="1501"/>
      <c r="AY16" s="1501"/>
      <c r="AZ16" s="1501"/>
      <c r="BA16" s="1501"/>
      <c r="BB16" s="1501"/>
      <c r="BC16" s="1501"/>
      <c r="BD16" s="1501"/>
      <c r="BE16" s="1501"/>
      <c r="BF16" s="1501"/>
      <c r="BG16" s="1501"/>
      <c r="BH16" s="1501"/>
      <c r="BI16" s="1501"/>
      <c r="BJ16" s="1501"/>
      <c r="BK16" s="1501"/>
      <c r="BL16" s="1501"/>
      <c r="BM16" s="1481">
        <v>11</v>
      </c>
    </row>
    <row r="17" spans="4:65" ht="15" customHeight="1">
      <c r="D17" s="2837" t="s">
        <v>115</v>
      </c>
      <c r="E17" s="2839" t="s">
        <v>338</v>
      </c>
      <c r="F17" s="2839" t="s">
        <v>340</v>
      </c>
      <c r="G17" s="2821" t="s">
        <v>19</v>
      </c>
      <c r="H17" s="1526"/>
      <c r="I17" s="2842"/>
      <c r="J17" s="2786"/>
      <c r="K17" s="1441"/>
      <c r="L17" s="2778"/>
      <c r="M17" s="2778"/>
      <c r="N17" s="1511"/>
      <c r="O17" s="2778"/>
      <c r="P17" s="2786"/>
      <c r="Q17" s="1512"/>
      <c r="R17" s="2778"/>
      <c r="S17" s="2778"/>
      <c r="T17" s="1513"/>
      <c r="U17" s="2778"/>
      <c r="V17" s="2786"/>
      <c r="W17" s="1514"/>
      <c r="X17" s="2778"/>
      <c r="Y17" s="2778"/>
      <c r="Z17" s="1511"/>
      <c r="AA17" s="2778"/>
      <c r="AB17" s="2786"/>
      <c r="AC17" s="1515"/>
      <c r="AD17" s="2778"/>
      <c r="AE17" s="2778"/>
      <c r="AF17" s="1440"/>
      <c r="AG17" s="1440"/>
      <c r="AH17" s="1516"/>
      <c r="AI17" s="1223"/>
      <c r="AJ17" s="1501"/>
      <c r="BM17" s="231">
        <v>14</v>
      </c>
    </row>
    <row r="18" spans="4:65" ht="15" customHeight="1">
      <c r="D18" s="2837"/>
      <c r="E18" s="2839"/>
      <c r="F18" s="2839"/>
      <c r="G18" s="2822"/>
      <c r="H18" s="1527"/>
      <c r="I18" s="2843"/>
      <c r="J18" s="2787"/>
      <c r="K18" s="1510"/>
      <c r="L18" s="2779"/>
      <c r="M18" s="2779"/>
      <c r="N18" s="1517"/>
      <c r="O18" s="2779"/>
      <c r="P18" s="2787"/>
      <c r="Q18" s="1518"/>
      <c r="R18" s="2779"/>
      <c r="S18" s="2779"/>
      <c r="T18" s="1519"/>
      <c r="U18" s="2779"/>
      <c r="V18" s="2787"/>
      <c r="W18" s="1520"/>
      <c r="X18" s="2779"/>
      <c r="Y18" s="2779"/>
      <c r="Z18" s="1517"/>
      <c r="AA18" s="2779"/>
      <c r="AB18" s="2787"/>
      <c r="AC18" s="1521"/>
      <c r="AD18" s="2779"/>
      <c r="AE18" s="2779"/>
      <c r="AF18" s="1522"/>
      <c r="AG18" s="1522"/>
      <c r="AH18" s="2846"/>
      <c r="AI18" s="2847"/>
      <c r="AJ18" s="1501"/>
      <c r="BM18" s="231">
        <v>14</v>
      </c>
    </row>
    <row r="19" spans="4:65" ht="15" customHeight="1">
      <c r="D19" s="2837"/>
      <c r="E19" s="2839"/>
      <c r="F19" s="2839"/>
      <c r="G19" s="2822"/>
      <c r="H19" s="1527"/>
      <c r="I19" s="2843"/>
      <c r="J19" s="2787"/>
      <c r="K19" s="1510"/>
      <c r="L19" s="2779"/>
      <c r="M19" s="2779"/>
      <c r="N19" s="1517"/>
      <c r="O19" s="2779"/>
      <c r="P19" s="2787"/>
      <c r="Q19" s="1518"/>
      <c r="R19" s="2779"/>
      <c r="S19" s="2779"/>
      <c r="T19" s="1519"/>
      <c r="U19" s="2779"/>
      <c r="V19" s="2787"/>
      <c r="W19" s="1520"/>
      <c r="X19" s="2779"/>
      <c r="Y19" s="2779"/>
      <c r="Z19" s="1439"/>
      <c r="AA19" s="1522"/>
      <c r="AB19" s="2846"/>
      <c r="AC19" s="2846"/>
      <c r="AD19" s="2846"/>
      <c r="AE19" s="2846"/>
      <c r="AF19" s="2846"/>
      <c r="AG19" s="2846"/>
      <c r="AH19" s="2846"/>
      <c r="AI19" s="2847"/>
      <c r="AJ19" s="1501"/>
      <c r="BM19" s="231">
        <v>14</v>
      </c>
    </row>
    <row r="20" spans="4:65" ht="15" customHeight="1">
      <c r="D20" s="2837"/>
      <c r="E20" s="2839"/>
      <c r="F20" s="2839"/>
      <c r="G20" s="2822"/>
      <c r="H20" s="1527"/>
      <c r="I20" s="2843"/>
      <c r="J20" s="2787"/>
      <c r="K20" s="1510"/>
      <c r="L20" s="2779"/>
      <c r="M20" s="2779"/>
      <c r="N20" s="1517"/>
      <c r="O20" s="2779"/>
      <c r="P20" s="2787"/>
      <c r="Q20" s="1518"/>
      <c r="R20" s="2779"/>
      <c r="S20" s="2779"/>
      <c r="T20" s="1523"/>
      <c r="U20" s="1524"/>
      <c r="V20" s="2846"/>
      <c r="W20" s="2846"/>
      <c r="X20" s="2846"/>
      <c r="Y20" s="2846"/>
      <c r="Z20" s="2846"/>
      <c r="AA20" s="2846"/>
      <c r="AB20" s="2846"/>
      <c r="AC20" s="2846"/>
      <c r="AD20" s="2846"/>
      <c r="AE20" s="2846"/>
      <c r="AF20" s="2846"/>
      <c r="AG20" s="2846"/>
      <c r="AH20" s="2846"/>
      <c r="AI20" s="2847"/>
      <c r="AJ20" s="1501"/>
      <c r="BM20" s="231">
        <v>14</v>
      </c>
    </row>
    <row r="21" spans="4:65" ht="11.25" customHeight="1">
      <c r="D21" s="2837"/>
      <c r="E21" s="2839"/>
      <c r="F21" s="2839"/>
      <c r="G21" s="2822"/>
      <c r="H21" s="1528"/>
      <c r="I21" s="2843"/>
      <c r="J21" s="2787"/>
      <c r="K21" s="1510"/>
      <c r="L21" s="2779"/>
      <c r="M21" s="2779"/>
      <c r="N21" s="1522"/>
      <c r="O21" s="1522"/>
      <c r="P21" s="2846"/>
      <c r="Q21" s="2846"/>
      <c r="R21" s="2846"/>
      <c r="S21" s="2846"/>
      <c r="T21" s="2846"/>
      <c r="U21" s="2846"/>
      <c r="V21" s="2846"/>
      <c r="W21" s="2846"/>
      <c r="X21" s="2846"/>
      <c r="Y21" s="2846"/>
      <c r="Z21" s="2846"/>
      <c r="AA21" s="2846"/>
      <c r="AB21" s="2846"/>
      <c r="AC21" s="2846"/>
      <c r="AD21" s="2846"/>
      <c r="AE21" s="2846"/>
      <c r="AF21" s="2846"/>
      <c r="AG21" s="2846"/>
      <c r="AH21" s="2846"/>
      <c r="AI21" s="2847"/>
      <c r="AJ21" s="1501"/>
      <c r="BM21" s="231">
        <v>11</v>
      </c>
    </row>
    <row r="22" spans="4:65" s="1481" customFormat="1" ht="11.25" customHeight="1">
      <c r="D22" s="2838"/>
      <c r="E22" s="2840"/>
      <c r="F22" s="2841"/>
      <c r="G22" s="2773"/>
      <c r="H22" s="1525"/>
      <c r="I22" s="1529"/>
      <c r="J22" s="2844"/>
      <c r="K22" s="2844"/>
      <c r="L22" s="2844"/>
      <c r="M22" s="2844"/>
      <c r="N22" s="2844"/>
      <c r="O22" s="2844"/>
      <c r="P22" s="2844"/>
      <c r="Q22" s="2844"/>
      <c r="R22" s="2844"/>
      <c r="S22" s="2844"/>
      <c r="T22" s="2844"/>
      <c r="U22" s="2844"/>
      <c r="V22" s="2844"/>
      <c r="W22" s="2844"/>
      <c r="X22" s="2844"/>
      <c r="Y22" s="2844"/>
      <c r="Z22" s="2844"/>
      <c r="AA22" s="2844"/>
      <c r="AB22" s="2844"/>
      <c r="AC22" s="2844"/>
      <c r="AD22" s="2844"/>
      <c r="AE22" s="2844"/>
      <c r="AF22" s="2844"/>
      <c r="AG22" s="2844"/>
      <c r="AH22" s="2844"/>
      <c r="AI22" s="2845"/>
      <c r="AJ22" s="1501"/>
      <c r="AK22" s="244"/>
      <c r="AL22" s="1501"/>
      <c r="AM22" s="1501"/>
      <c r="AN22" s="1501"/>
      <c r="AO22" s="1501"/>
      <c r="AP22" s="1501"/>
      <c r="AQ22" s="1501"/>
      <c r="AR22" s="1501"/>
      <c r="AS22" s="1501"/>
      <c r="AT22" s="1501"/>
      <c r="AU22" s="1501"/>
      <c r="AV22" s="1501"/>
      <c r="AW22" s="1501"/>
      <c r="AX22" s="1501"/>
      <c r="AY22" s="1501"/>
      <c r="AZ22" s="1501"/>
      <c r="BA22" s="1501"/>
      <c r="BB22" s="1501"/>
      <c r="BC22" s="1501"/>
      <c r="BD22" s="1501"/>
      <c r="BE22" s="1501"/>
      <c r="BF22" s="1501"/>
      <c r="BG22" s="1501"/>
      <c r="BH22" s="1501"/>
      <c r="BI22" s="1501"/>
      <c r="BJ22" s="1501"/>
      <c r="BK22" s="1501"/>
      <c r="BL22" s="1501"/>
      <c r="BM22" s="1481">
        <v>11</v>
      </c>
    </row>
    <row r="23" spans="4:65" ht="15" customHeight="1">
      <c r="D23" s="2837" t="s">
        <v>95</v>
      </c>
      <c r="E23" s="2839" t="s">
        <v>338</v>
      </c>
      <c r="F23" s="2839" t="s">
        <v>341</v>
      </c>
      <c r="G23" s="2821" t="s">
        <v>19</v>
      </c>
      <c r="H23" s="1526"/>
      <c r="I23" s="2842"/>
      <c r="J23" s="2786"/>
      <c r="K23" s="1441"/>
      <c r="L23" s="2778"/>
      <c r="M23" s="2778"/>
      <c r="N23" s="1511"/>
      <c r="O23" s="2778"/>
      <c r="P23" s="2786"/>
      <c r="Q23" s="1512"/>
      <c r="R23" s="2778"/>
      <c r="S23" s="2778"/>
      <c r="T23" s="1513"/>
      <c r="U23" s="2778"/>
      <c r="V23" s="2786"/>
      <c r="W23" s="1514"/>
      <c r="X23" s="2778"/>
      <c r="Y23" s="2778"/>
      <c r="Z23" s="1511"/>
      <c r="AA23" s="2778"/>
      <c r="AB23" s="2786"/>
      <c r="AC23" s="1515"/>
      <c r="AD23" s="2778"/>
      <c r="AE23" s="2778"/>
      <c r="AF23" s="1440"/>
      <c r="AG23" s="1440"/>
      <c r="AH23" s="1516"/>
      <c r="AI23" s="1223"/>
      <c r="AJ23" s="1501"/>
      <c r="AK23" s="244" t="s">
        <v>103</v>
      </c>
      <c r="BM23" s="231">
        <v>14</v>
      </c>
    </row>
    <row r="24" spans="4:65" ht="15" customHeight="1">
      <c r="D24" s="2837"/>
      <c r="E24" s="2839"/>
      <c r="F24" s="2839"/>
      <c r="G24" s="2822"/>
      <c r="H24" s="1527"/>
      <c r="I24" s="2843"/>
      <c r="J24" s="2787"/>
      <c r="K24" s="1537"/>
      <c r="L24" s="2779"/>
      <c r="M24" s="2779"/>
      <c r="N24" s="1517"/>
      <c r="O24" s="2779"/>
      <c r="P24" s="2787"/>
      <c r="Q24" s="1518"/>
      <c r="R24" s="2779"/>
      <c r="S24" s="2779"/>
      <c r="T24" s="1519"/>
      <c r="U24" s="2779"/>
      <c r="V24" s="2787"/>
      <c r="W24" s="1520"/>
      <c r="X24" s="2779"/>
      <c r="Y24" s="2779"/>
      <c r="Z24" s="1517"/>
      <c r="AA24" s="2779"/>
      <c r="AB24" s="2787"/>
      <c r="AC24" s="1521"/>
      <c r="AD24" s="2779"/>
      <c r="AE24" s="2779"/>
      <c r="AF24" s="1522"/>
      <c r="AG24" s="1522"/>
      <c r="AH24" s="2846"/>
      <c r="AI24" s="2847"/>
      <c r="AJ24" s="1501"/>
      <c r="BM24" s="231">
        <v>14</v>
      </c>
    </row>
    <row r="25" spans="4:65" ht="15" customHeight="1">
      <c r="D25" s="2837"/>
      <c r="E25" s="2839"/>
      <c r="F25" s="2839"/>
      <c r="G25" s="2822"/>
      <c r="H25" s="1527"/>
      <c r="I25" s="2843"/>
      <c r="J25" s="2787"/>
      <c r="K25" s="1537"/>
      <c r="L25" s="2779"/>
      <c r="M25" s="2779"/>
      <c r="N25" s="1517"/>
      <c r="O25" s="2779"/>
      <c r="P25" s="2787"/>
      <c r="Q25" s="1518"/>
      <c r="R25" s="2779"/>
      <c r="S25" s="2779"/>
      <c r="T25" s="1519"/>
      <c r="U25" s="2779"/>
      <c r="V25" s="2787"/>
      <c r="W25" s="1520"/>
      <c r="X25" s="2779"/>
      <c r="Y25" s="2779"/>
      <c r="Z25" s="1439"/>
      <c r="AA25" s="1522"/>
      <c r="AB25" s="2846"/>
      <c r="AC25" s="2846"/>
      <c r="AD25" s="2846"/>
      <c r="AE25" s="2846"/>
      <c r="AF25" s="2846"/>
      <c r="AG25" s="2846"/>
      <c r="AH25" s="2846"/>
      <c r="AI25" s="2847"/>
      <c r="AJ25" s="1501"/>
      <c r="BM25" s="231">
        <v>14</v>
      </c>
    </row>
    <row r="26" spans="4:65" ht="15" customHeight="1">
      <c r="D26" s="2837"/>
      <c r="E26" s="2839"/>
      <c r="F26" s="2839"/>
      <c r="G26" s="2822"/>
      <c r="H26" s="1527"/>
      <c r="I26" s="2843"/>
      <c r="J26" s="2787"/>
      <c r="K26" s="1537"/>
      <c r="L26" s="2779"/>
      <c r="M26" s="2779"/>
      <c r="N26" s="1517"/>
      <c r="O26" s="2779"/>
      <c r="P26" s="2787"/>
      <c r="Q26" s="1518"/>
      <c r="R26" s="2779"/>
      <c r="S26" s="2779"/>
      <c r="T26" s="1523"/>
      <c r="U26" s="1524"/>
      <c r="V26" s="2846"/>
      <c r="W26" s="2846"/>
      <c r="X26" s="2846"/>
      <c r="Y26" s="2846"/>
      <c r="Z26" s="2846"/>
      <c r="AA26" s="2846"/>
      <c r="AB26" s="2846"/>
      <c r="AC26" s="2846"/>
      <c r="AD26" s="2846"/>
      <c r="AE26" s="2846"/>
      <c r="AF26" s="2846"/>
      <c r="AG26" s="2846"/>
      <c r="AH26" s="2846"/>
      <c r="AI26" s="2847"/>
      <c r="AJ26" s="1501"/>
      <c r="BM26" s="231">
        <v>14</v>
      </c>
    </row>
    <row r="27" spans="4:65" ht="11.25" customHeight="1">
      <c r="D27" s="2837"/>
      <c r="E27" s="2839"/>
      <c r="F27" s="2839"/>
      <c r="G27" s="2822"/>
      <c r="H27" s="1528"/>
      <c r="I27" s="2843"/>
      <c r="J27" s="2787"/>
      <c r="K27" s="1537"/>
      <c r="L27" s="2779"/>
      <c r="M27" s="2779"/>
      <c r="N27" s="1522"/>
      <c r="O27" s="1522"/>
      <c r="P27" s="2846"/>
      <c r="Q27" s="2846"/>
      <c r="R27" s="2846"/>
      <c r="S27" s="2846"/>
      <c r="T27" s="2846"/>
      <c r="U27" s="2846"/>
      <c r="V27" s="2846"/>
      <c r="W27" s="2846"/>
      <c r="X27" s="2846"/>
      <c r="Y27" s="2846"/>
      <c r="Z27" s="2846"/>
      <c r="AA27" s="2846"/>
      <c r="AB27" s="2846"/>
      <c r="AC27" s="2846"/>
      <c r="AD27" s="2846"/>
      <c r="AE27" s="2846"/>
      <c r="AF27" s="2846"/>
      <c r="AG27" s="2846"/>
      <c r="AH27" s="2846"/>
      <c r="AI27" s="2847"/>
      <c r="AJ27" s="1501"/>
      <c r="BM27" s="231">
        <v>11</v>
      </c>
    </row>
    <row r="28" spans="4:65" s="1481" customFormat="1" ht="11.25" customHeight="1">
      <c r="D28" s="2838"/>
      <c r="E28" s="2840"/>
      <c r="F28" s="2841"/>
      <c r="G28" s="2773"/>
      <c r="H28" s="1525"/>
      <c r="I28" s="1529"/>
      <c r="J28" s="2844"/>
      <c r="K28" s="2844"/>
      <c r="L28" s="2844"/>
      <c r="M28" s="2844"/>
      <c r="N28" s="2844"/>
      <c r="O28" s="2844"/>
      <c r="P28" s="2844"/>
      <c r="Q28" s="2844"/>
      <c r="R28" s="2844"/>
      <c r="S28" s="2844"/>
      <c r="T28" s="2844"/>
      <c r="U28" s="2844"/>
      <c r="V28" s="2844"/>
      <c r="W28" s="2844"/>
      <c r="X28" s="2844"/>
      <c r="Y28" s="2844"/>
      <c r="Z28" s="2844"/>
      <c r="AA28" s="2844"/>
      <c r="AB28" s="2844"/>
      <c r="AC28" s="2844"/>
      <c r="AD28" s="2844"/>
      <c r="AE28" s="2844"/>
      <c r="AF28" s="2844"/>
      <c r="AG28" s="2844"/>
      <c r="AH28" s="2844"/>
      <c r="AI28" s="2845"/>
      <c r="AJ28" s="1501"/>
      <c r="AK28" s="244"/>
      <c r="AL28" s="1501"/>
      <c r="AM28" s="1501"/>
      <c r="AN28" s="1501"/>
      <c r="AO28" s="1501"/>
      <c r="AP28" s="1501"/>
      <c r="AQ28" s="1501"/>
      <c r="AR28" s="1501"/>
      <c r="AS28" s="1501"/>
      <c r="AT28" s="1501"/>
      <c r="AU28" s="1501"/>
      <c r="AV28" s="1501"/>
      <c r="AW28" s="1501"/>
      <c r="AX28" s="1501"/>
      <c r="AY28" s="1501"/>
      <c r="AZ28" s="1501"/>
      <c r="BA28" s="1501"/>
      <c r="BB28" s="1501"/>
      <c r="BC28" s="1501"/>
      <c r="BD28" s="1501"/>
      <c r="BE28" s="1501"/>
      <c r="BF28" s="1501"/>
      <c r="BG28" s="1501"/>
      <c r="BH28" s="1501"/>
      <c r="BI28" s="1501"/>
      <c r="BJ28" s="1501"/>
      <c r="BK28" s="1501"/>
      <c r="BL28" s="1501"/>
      <c r="BM28" s="1481">
        <v>11</v>
      </c>
    </row>
    <row r="29" spans="4:65" ht="15" customHeight="1">
      <c r="D29" s="2837" t="s">
        <v>96</v>
      </c>
      <c r="E29" s="2839" t="s">
        <v>338</v>
      </c>
      <c r="F29" s="2839" t="s">
        <v>342</v>
      </c>
      <c r="G29" s="2821" t="s">
        <v>19</v>
      </c>
      <c r="H29" s="1526"/>
      <c r="I29" s="2842"/>
      <c r="J29" s="2786"/>
      <c r="K29" s="1441"/>
      <c r="L29" s="2778"/>
      <c r="M29" s="2778"/>
      <c r="N29" s="1511"/>
      <c r="O29" s="2778"/>
      <c r="P29" s="2786"/>
      <c r="Q29" s="1512"/>
      <c r="R29" s="2778"/>
      <c r="S29" s="2778"/>
      <c r="T29" s="1513"/>
      <c r="U29" s="2778"/>
      <c r="V29" s="2786"/>
      <c r="W29" s="1514"/>
      <c r="X29" s="2778"/>
      <c r="Y29" s="2778"/>
      <c r="Z29" s="1511"/>
      <c r="AA29" s="2778"/>
      <c r="AB29" s="2786"/>
      <c r="AC29" s="1515"/>
      <c r="AD29" s="2778"/>
      <c r="AE29" s="2778"/>
      <c r="AF29" s="1440"/>
      <c r="AG29" s="1440"/>
      <c r="AH29" s="1516"/>
      <c r="AI29" s="1223"/>
      <c r="AJ29" s="1501"/>
      <c r="BM29" s="231">
        <v>14</v>
      </c>
    </row>
    <row r="30" spans="4:65" ht="15" customHeight="1">
      <c r="D30" s="2837"/>
      <c r="E30" s="2839"/>
      <c r="F30" s="2839"/>
      <c r="G30" s="2822"/>
      <c r="H30" s="1527"/>
      <c r="I30" s="2843"/>
      <c r="J30" s="2787"/>
      <c r="K30" s="1510"/>
      <c r="L30" s="2779"/>
      <c r="M30" s="2779"/>
      <c r="N30" s="1517"/>
      <c r="O30" s="2779"/>
      <c r="P30" s="2787"/>
      <c r="Q30" s="1518"/>
      <c r="R30" s="2779"/>
      <c r="S30" s="2779"/>
      <c r="T30" s="1519"/>
      <c r="U30" s="2779"/>
      <c r="V30" s="2787"/>
      <c r="W30" s="1520"/>
      <c r="X30" s="2779"/>
      <c r="Y30" s="2779"/>
      <c r="Z30" s="1517"/>
      <c r="AA30" s="2779"/>
      <c r="AB30" s="2787"/>
      <c r="AC30" s="1521"/>
      <c r="AD30" s="2779"/>
      <c r="AE30" s="2779"/>
      <c r="AF30" s="1522"/>
      <c r="AG30" s="1522"/>
      <c r="AH30" s="2846"/>
      <c r="AI30" s="2847"/>
      <c r="AJ30" s="1501"/>
      <c r="BM30" s="231">
        <v>14</v>
      </c>
    </row>
    <row r="31" spans="4:65" ht="15" customHeight="1">
      <c r="D31" s="2837"/>
      <c r="E31" s="2839"/>
      <c r="F31" s="2839"/>
      <c r="G31" s="2822"/>
      <c r="H31" s="1527"/>
      <c r="I31" s="2843"/>
      <c r="J31" s="2787"/>
      <c r="K31" s="1510"/>
      <c r="L31" s="2779"/>
      <c r="M31" s="2779"/>
      <c r="N31" s="1517"/>
      <c r="O31" s="2779"/>
      <c r="P31" s="2787"/>
      <c r="Q31" s="1518"/>
      <c r="R31" s="2779"/>
      <c r="S31" s="2779"/>
      <c r="T31" s="1519"/>
      <c r="U31" s="2779"/>
      <c r="V31" s="2787"/>
      <c r="W31" s="1520"/>
      <c r="X31" s="2779"/>
      <c r="Y31" s="2779"/>
      <c r="Z31" s="1439"/>
      <c r="AA31" s="1522"/>
      <c r="AB31" s="2846"/>
      <c r="AC31" s="2846"/>
      <c r="AD31" s="2846"/>
      <c r="AE31" s="2846"/>
      <c r="AF31" s="2846"/>
      <c r="AG31" s="2846"/>
      <c r="AH31" s="2846"/>
      <c r="AI31" s="2847"/>
      <c r="AJ31" s="1501"/>
      <c r="BM31" s="231">
        <v>14</v>
      </c>
    </row>
    <row r="32" spans="4:65" ht="15" customHeight="1">
      <c r="D32" s="2837"/>
      <c r="E32" s="2839"/>
      <c r="F32" s="2839"/>
      <c r="G32" s="2822"/>
      <c r="H32" s="1527"/>
      <c r="I32" s="2843"/>
      <c r="J32" s="2787"/>
      <c r="K32" s="1510"/>
      <c r="L32" s="2779"/>
      <c r="M32" s="2779"/>
      <c r="N32" s="1517"/>
      <c r="O32" s="2779"/>
      <c r="P32" s="2787"/>
      <c r="Q32" s="1518"/>
      <c r="R32" s="2779"/>
      <c r="S32" s="2779"/>
      <c r="T32" s="1523"/>
      <c r="U32" s="1524"/>
      <c r="V32" s="2846"/>
      <c r="W32" s="2846"/>
      <c r="X32" s="2846"/>
      <c r="Y32" s="2846"/>
      <c r="Z32" s="2846"/>
      <c r="AA32" s="2846"/>
      <c r="AB32" s="2846"/>
      <c r="AC32" s="2846"/>
      <c r="AD32" s="2846"/>
      <c r="AE32" s="2846"/>
      <c r="AF32" s="2846"/>
      <c r="AG32" s="2846"/>
      <c r="AH32" s="2846"/>
      <c r="AI32" s="2847"/>
      <c r="AJ32" s="1501"/>
      <c r="BM32" s="231">
        <v>14</v>
      </c>
    </row>
    <row r="33" spans="4:65" ht="11.25" customHeight="1">
      <c r="D33" s="2837"/>
      <c r="E33" s="2839"/>
      <c r="F33" s="2839"/>
      <c r="G33" s="2822"/>
      <c r="H33" s="1528"/>
      <c r="I33" s="2843"/>
      <c r="J33" s="2787"/>
      <c r="K33" s="1510"/>
      <c r="L33" s="2779"/>
      <c r="M33" s="2779"/>
      <c r="N33" s="1522"/>
      <c r="O33" s="1522"/>
      <c r="P33" s="2846"/>
      <c r="Q33" s="2846"/>
      <c r="R33" s="2846"/>
      <c r="S33" s="2846"/>
      <c r="T33" s="2846"/>
      <c r="U33" s="2846"/>
      <c r="V33" s="2846"/>
      <c r="W33" s="2846"/>
      <c r="X33" s="2846"/>
      <c r="Y33" s="2846"/>
      <c r="Z33" s="2846"/>
      <c r="AA33" s="2846"/>
      <c r="AB33" s="2846"/>
      <c r="AC33" s="2846"/>
      <c r="AD33" s="2846"/>
      <c r="AE33" s="2846"/>
      <c r="AF33" s="2846"/>
      <c r="AG33" s="2846"/>
      <c r="AH33" s="2846"/>
      <c r="AI33" s="2847"/>
      <c r="AJ33" s="1501"/>
      <c r="BM33" s="231">
        <v>11</v>
      </c>
    </row>
    <row r="34" spans="4:65" s="1481" customFormat="1" ht="11.25" customHeight="1">
      <c r="D34" s="2838"/>
      <c r="E34" s="2840"/>
      <c r="F34" s="2841"/>
      <c r="G34" s="2773"/>
      <c r="H34" s="1525"/>
      <c r="I34" s="1529"/>
      <c r="J34" s="2844"/>
      <c r="K34" s="2844"/>
      <c r="L34" s="2844"/>
      <c r="M34" s="2844"/>
      <c r="N34" s="2844"/>
      <c r="O34" s="2844"/>
      <c r="P34" s="2844"/>
      <c r="Q34" s="2844"/>
      <c r="R34" s="2844"/>
      <c r="S34" s="2844"/>
      <c r="T34" s="2844"/>
      <c r="U34" s="2844"/>
      <c r="V34" s="2844"/>
      <c r="W34" s="2844"/>
      <c r="X34" s="2844"/>
      <c r="Y34" s="2844"/>
      <c r="Z34" s="2844"/>
      <c r="AA34" s="2844"/>
      <c r="AB34" s="2844"/>
      <c r="AC34" s="2844"/>
      <c r="AD34" s="2844"/>
      <c r="AE34" s="2844"/>
      <c r="AF34" s="2844"/>
      <c r="AG34" s="2844"/>
      <c r="AH34" s="2844"/>
      <c r="AI34" s="2845"/>
      <c r="AJ34" s="1501"/>
      <c r="AK34" s="244"/>
      <c r="AL34" s="1501"/>
      <c r="AM34" s="1501"/>
      <c r="AN34" s="1501"/>
      <c r="AO34" s="1501"/>
      <c r="AP34" s="1501"/>
      <c r="AQ34" s="1501"/>
      <c r="AR34" s="1501"/>
      <c r="AS34" s="1501"/>
      <c r="AT34" s="1501"/>
      <c r="AU34" s="1501"/>
      <c r="AV34" s="1501"/>
      <c r="AW34" s="1501"/>
      <c r="AX34" s="1501"/>
      <c r="AY34" s="1501"/>
      <c r="AZ34" s="1501"/>
      <c r="BA34" s="1501"/>
      <c r="BB34" s="1501"/>
      <c r="BC34" s="1501"/>
      <c r="BD34" s="1501"/>
      <c r="BE34" s="1501"/>
      <c r="BF34" s="1501"/>
      <c r="BG34" s="1501"/>
      <c r="BH34" s="1501"/>
      <c r="BI34" s="1501"/>
      <c r="BJ34" s="1501"/>
      <c r="BK34" s="1501"/>
      <c r="BL34" s="1501"/>
      <c r="BM34" s="1481">
        <v>11</v>
      </c>
    </row>
    <row r="35" spans="4:65" ht="15" customHeight="1">
      <c r="D35" s="2837" t="s">
        <v>116</v>
      </c>
      <c r="E35" s="2839" t="s">
        <v>338</v>
      </c>
      <c r="F35" s="2839" t="s">
        <v>343</v>
      </c>
      <c r="G35" s="2821" t="s">
        <v>19</v>
      </c>
      <c r="H35" s="1526"/>
      <c r="I35" s="2842"/>
      <c r="J35" s="2786"/>
      <c r="K35" s="1441"/>
      <c r="L35" s="2778"/>
      <c r="M35" s="2778"/>
      <c r="N35" s="1511"/>
      <c r="O35" s="2778"/>
      <c r="P35" s="2786"/>
      <c r="Q35" s="1512"/>
      <c r="R35" s="2778"/>
      <c r="S35" s="2778"/>
      <c r="T35" s="1513"/>
      <c r="U35" s="2778"/>
      <c r="V35" s="2786"/>
      <c r="W35" s="1514"/>
      <c r="X35" s="2778"/>
      <c r="Y35" s="2778"/>
      <c r="Z35" s="1511"/>
      <c r="AA35" s="2778"/>
      <c r="AB35" s="2786"/>
      <c r="AC35" s="1515"/>
      <c r="AD35" s="2778"/>
      <c r="AE35" s="2778"/>
      <c r="AF35" s="1440"/>
      <c r="AG35" s="1440"/>
      <c r="AH35" s="1516"/>
      <c r="AI35" s="1223"/>
      <c r="AJ35" s="1501"/>
      <c r="BM35" s="231">
        <v>14</v>
      </c>
    </row>
    <row r="36" spans="4:65" ht="15" customHeight="1">
      <c r="D36" s="2837"/>
      <c r="E36" s="2839"/>
      <c r="F36" s="2839"/>
      <c r="G36" s="2822"/>
      <c r="H36" s="1527"/>
      <c r="I36" s="2843"/>
      <c r="J36" s="2787"/>
      <c r="K36" s="1510"/>
      <c r="L36" s="2779"/>
      <c r="M36" s="2779"/>
      <c r="N36" s="1517"/>
      <c r="O36" s="2779"/>
      <c r="P36" s="2787"/>
      <c r="Q36" s="1518"/>
      <c r="R36" s="2779"/>
      <c r="S36" s="2779"/>
      <c r="T36" s="1519"/>
      <c r="U36" s="2779"/>
      <c r="V36" s="2787"/>
      <c r="W36" s="1520"/>
      <c r="X36" s="2779"/>
      <c r="Y36" s="2779"/>
      <c r="Z36" s="1517"/>
      <c r="AA36" s="2779"/>
      <c r="AB36" s="2787"/>
      <c r="AC36" s="1521"/>
      <c r="AD36" s="2779"/>
      <c r="AE36" s="2779"/>
      <c r="AF36" s="1522"/>
      <c r="AG36" s="1522"/>
      <c r="AH36" s="2846"/>
      <c r="AI36" s="2847"/>
      <c r="AJ36" s="1501"/>
      <c r="BM36" s="231">
        <v>14</v>
      </c>
    </row>
    <row r="37" spans="4:65" ht="15" customHeight="1">
      <c r="D37" s="2837"/>
      <c r="E37" s="2839"/>
      <c r="F37" s="2839"/>
      <c r="G37" s="2822"/>
      <c r="H37" s="1527"/>
      <c r="I37" s="2843"/>
      <c r="J37" s="2787"/>
      <c r="K37" s="1510"/>
      <c r="L37" s="2779"/>
      <c r="M37" s="2779"/>
      <c r="N37" s="1517"/>
      <c r="O37" s="2779"/>
      <c r="P37" s="2787"/>
      <c r="Q37" s="1518"/>
      <c r="R37" s="2779"/>
      <c r="S37" s="2779"/>
      <c r="T37" s="1519"/>
      <c r="U37" s="2779"/>
      <c r="V37" s="2787"/>
      <c r="W37" s="1520"/>
      <c r="X37" s="2779"/>
      <c r="Y37" s="2779"/>
      <c r="Z37" s="1439"/>
      <c r="AA37" s="1522"/>
      <c r="AB37" s="2846"/>
      <c r="AC37" s="2846"/>
      <c r="AD37" s="2846"/>
      <c r="AE37" s="2846"/>
      <c r="AF37" s="2846"/>
      <c r="AG37" s="2846"/>
      <c r="AH37" s="2846"/>
      <c r="AI37" s="2847"/>
      <c r="AJ37" s="1501"/>
      <c r="BM37" s="231">
        <v>14</v>
      </c>
    </row>
    <row r="38" spans="4:65" ht="15" customHeight="1">
      <c r="D38" s="2837"/>
      <c r="E38" s="2839"/>
      <c r="F38" s="2839"/>
      <c r="G38" s="2822"/>
      <c r="H38" s="1527"/>
      <c r="I38" s="2843"/>
      <c r="J38" s="2787"/>
      <c r="K38" s="1510"/>
      <c r="L38" s="2779"/>
      <c r="M38" s="2779"/>
      <c r="N38" s="1517"/>
      <c r="O38" s="2779"/>
      <c r="P38" s="2787"/>
      <c r="Q38" s="1518"/>
      <c r="R38" s="2779"/>
      <c r="S38" s="2779"/>
      <c r="T38" s="1523"/>
      <c r="U38" s="1524"/>
      <c r="V38" s="2846"/>
      <c r="W38" s="2846"/>
      <c r="X38" s="2846"/>
      <c r="Y38" s="2846"/>
      <c r="Z38" s="2846"/>
      <c r="AA38" s="2846"/>
      <c r="AB38" s="2846"/>
      <c r="AC38" s="2846"/>
      <c r="AD38" s="2846"/>
      <c r="AE38" s="2846"/>
      <c r="AF38" s="2846"/>
      <c r="AG38" s="2846"/>
      <c r="AH38" s="2846"/>
      <c r="AI38" s="2847"/>
      <c r="AJ38" s="1501"/>
      <c r="BM38" s="231">
        <v>14</v>
      </c>
    </row>
    <row r="39" spans="4:65" ht="11.25" customHeight="1">
      <c r="D39" s="2837"/>
      <c r="E39" s="2839"/>
      <c r="F39" s="2839"/>
      <c r="G39" s="2822"/>
      <c r="H39" s="1528"/>
      <c r="I39" s="2843"/>
      <c r="J39" s="2787"/>
      <c r="K39" s="1510"/>
      <c r="L39" s="2779"/>
      <c r="M39" s="2779"/>
      <c r="N39" s="1522"/>
      <c r="O39" s="1522"/>
      <c r="P39" s="2846"/>
      <c r="Q39" s="2846"/>
      <c r="R39" s="2846"/>
      <c r="S39" s="2846"/>
      <c r="T39" s="2846"/>
      <c r="U39" s="2846"/>
      <c r="V39" s="2846"/>
      <c r="W39" s="2846"/>
      <c r="X39" s="2846"/>
      <c r="Y39" s="2846"/>
      <c r="Z39" s="2846"/>
      <c r="AA39" s="2846"/>
      <c r="AB39" s="2846"/>
      <c r="AC39" s="2846"/>
      <c r="AD39" s="2846"/>
      <c r="AE39" s="2846"/>
      <c r="AF39" s="2846"/>
      <c r="AG39" s="2846"/>
      <c r="AH39" s="2846"/>
      <c r="AI39" s="2847"/>
      <c r="AJ39" s="1501"/>
      <c r="BM39" s="231">
        <v>11</v>
      </c>
    </row>
    <row r="40" spans="4:65" s="1481" customFormat="1" ht="11.25" customHeight="1">
      <c r="D40" s="2837"/>
      <c r="E40" s="2839"/>
      <c r="F40" s="2848"/>
      <c r="G40" s="2773"/>
      <c r="H40" s="1525"/>
      <c r="I40" s="1529"/>
      <c r="J40" s="2844"/>
      <c r="K40" s="2844"/>
      <c r="L40" s="2844"/>
      <c r="M40" s="2844"/>
      <c r="N40" s="2844"/>
      <c r="O40" s="2844"/>
      <c r="P40" s="2844"/>
      <c r="Q40" s="2844"/>
      <c r="R40" s="2844"/>
      <c r="S40" s="2844"/>
      <c r="T40" s="2844"/>
      <c r="U40" s="2844"/>
      <c r="V40" s="2844"/>
      <c r="W40" s="2844"/>
      <c r="X40" s="2844"/>
      <c r="Y40" s="2844"/>
      <c r="Z40" s="2844"/>
      <c r="AA40" s="2844"/>
      <c r="AB40" s="2844"/>
      <c r="AC40" s="2844"/>
      <c r="AD40" s="2844"/>
      <c r="AE40" s="2844"/>
      <c r="AF40" s="2844"/>
      <c r="AG40" s="2844"/>
      <c r="AH40" s="2844"/>
      <c r="AI40" s="2845"/>
      <c r="AJ40" s="1501"/>
      <c r="AK40" s="244"/>
      <c r="AL40" s="1501"/>
      <c r="AM40" s="1501"/>
      <c r="AN40" s="1501"/>
      <c r="AO40" s="1501"/>
      <c r="AP40" s="1501"/>
      <c r="AQ40" s="1501"/>
      <c r="AR40" s="1501"/>
      <c r="AS40" s="1501"/>
      <c r="AT40" s="1501"/>
      <c r="AU40" s="1501"/>
      <c r="AV40" s="1501"/>
      <c r="AW40" s="1501"/>
      <c r="AX40" s="1501"/>
      <c r="AY40" s="1501"/>
      <c r="AZ40" s="1501"/>
      <c r="BA40" s="1501"/>
      <c r="BB40" s="1501"/>
      <c r="BC40" s="1501"/>
      <c r="BD40" s="1501"/>
      <c r="BE40" s="1501"/>
      <c r="BF40" s="1501"/>
      <c r="BG40" s="1501"/>
      <c r="BH40" s="1501"/>
      <c r="BI40" s="1501"/>
      <c r="BJ40" s="1501"/>
      <c r="BK40" s="1501"/>
      <c r="BL40" s="1501"/>
      <c r="BM40" s="1481">
        <v>11</v>
      </c>
    </row>
    <row r="41" spans="4:65" ht="11.25" customHeight="1">
      <c r="AK41" s="360"/>
      <c r="BM41" s="231">
        <v>11</v>
      </c>
    </row>
    <row r="42" spans="4:65" ht="11.25" customHeight="1">
      <c r="AK42" s="360"/>
      <c r="BM42" s="231">
        <v>11</v>
      </c>
    </row>
    <row r="43" spans="4:65" ht="11.25" customHeight="1">
      <c r="AK43" s="360"/>
      <c r="BM43" s="231">
        <v>11</v>
      </c>
    </row>
    <row r="44" spans="4:65" ht="11.25" customHeight="1">
      <c r="AK44" s="360"/>
      <c r="BM44" s="231">
        <v>11</v>
      </c>
    </row>
    <row r="45" spans="4:65" ht="11.25" customHeight="1">
      <c r="AK45" s="360"/>
      <c r="BM45" s="231">
        <v>11</v>
      </c>
    </row>
    <row r="46" spans="4:65" ht="11.25" customHeight="1">
      <c r="AK46" s="360"/>
      <c r="BM46" s="231">
        <v>11</v>
      </c>
    </row>
    <row r="47" spans="4:65" ht="11.25" customHeight="1">
      <c r="AK47" s="360"/>
      <c r="BM47" s="231">
        <v>11</v>
      </c>
    </row>
    <row r="48" spans="4:65" ht="11.25" customHeight="1">
      <c r="AK48" s="360"/>
      <c r="BM48" s="231">
        <v>11</v>
      </c>
    </row>
    <row r="49" spans="1:65" ht="11.25" customHeight="1">
      <c r="AK49" s="360"/>
      <c r="BM49" s="231">
        <v>11</v>
      </c>
    </row>
    <row r="50" spans="1:65" ht="11.25" hidden="1" customHeight="1">
      <c r="A50" s="231" t="s">
        <v>87</v>
      </c>
      <c r="B50" s="231">
        <v>0</v>
      </c>
      <c r="C50" s="231">
        <v>3</v>
      </c>
      <c r="D50" s="231">
        <v>3</v>
      </c>
      <c r="E50" s="231">
        <v>15</v>
      </c>
      <c r="F50" s="231">
        <v>15</v>
      </c>
      <c r="G50" s="231">
        <v>11</v>
      </c>
      <c r="H50" s="231">
        <v>3</v>
      </c>
      <c r="I50" s="231">
        <v>3</v>
      </c>
      <c r="J50" s="231">
        <v>12</v>
      </c>
      <c r="K50" s="231">
        <v>0</v>
      </c>
      <c r="L50" s="231">
        <v>10</v>
      </c>
      <c r="M50" s="231">
        <v>10</v>
      </c>
      <c r="N50" s="231">
        <v>3</v>
      </c>
      <c r="O50" s="231">
        <v>3</v>
      </c>
      <c r="P50" s="231">
        <v>19</v>
      </c>
      <c r="Q50" s="231">
        <v>0</v>
      </c>
      <c r="R50" s="231">
        <v>10</v>
      </c>
      <c r="S50" s="231">
        <v>10</v>
      </c>
      <c r="T50" s="231">
        <v>3</v>
      </c>
      <c r="U50" s="231">
        <v>3</v>
      </c>
      <c r="V50" s="231">
        <v>25</v>
      </c>
      <c r="W50" s="231">
        <v>0</v>
      </c>
      <c r="X50" s="231">
        <v>10</v>
      </c>
      <c r="Y50" s="231">
        <v>10</v>
      </c>
      <c r="Z50" s="231">
        <v>3</v>
      </c>
      <c r="AA50" s="231">
        <v>3</v>
      </c>
      <c r="AB50" s="231">
        <v>16</v>
      </c>
      <c r="AC50" s="231">
        <v>0</v>
      </c>
      <c r="AD50" s="231">
        <v>10</v>
      </c>
      <c r="AE50" s="231">
        <v>10</v>
      </c>
      <c r="AF50" s="231">
        <v>3</v>
      </c>
      <c r="AG50" s="231">
        <v>3</v>
      </c>
      <c r="AH50" s="231">
        <v>8</v>
      </c>
      <c r="AI50" s="231">
        <v>21</v>
      </c>
      <c r="AJ50" s="360">
        <v>8</v>
      </c>
      <c r="AK50" s="244">
        <v>8</v>
      </c>
      <c r="AL50" s="360">
        <v>8</v>
      </c>
      <c r="AM50" s="360">
        <v>8</v>
      </c>
      <c r="AN50" s="360">
        <v>8</v>
      </c>
      <c r="AO50" s="360">
        <v>8</v>
      </c>
      <c r="AP50" s="360">
        <v>8</v>
      </c>
      <c r="AQ50" s="360">
        <v>8</v>
      </c>
      <c r="AR50" s="360">
        <v>8</v>
      </c>
      <c r="AS50" s="360">
        <v>8</v>
      </c>
      <c r="AT50" s="360">
        <v>8</v>
      </c>
      <c r="AU50" s="360">
        <v>8</v>
      </c>
      <c r="AV50" s="360">
        <v>8</v>
      </c>
      <c r="AW50" s="360">
        <v>8</v>
      </c>
      <c r="AX50" s="360">
        <v>8</v>
      </c>
      <c r="AY50" s="360">
        <v>8</v>
      </c>
      <c r="AZ50" s="360">
        <v>8</v>
      </c>
      <c r="BA50" s="360">
        <v>8</v>
      </c>
      <c r="BB50" s="360">
        <v>8</v>
      </c>
      <c r="BC50" s="360">
        <v>8</v>
      </c>
      <c r="BD50" s="360">
        <v>8</v>
      </c>
      <c r="BE50" s="360">
        <v>8</v>
      </c>
      <c r="BF50" s="360">
        <v>8</v>
      </c>
      <c r="BG50" s="360">
        <v>8</v>
      </c>
      <c r="BH50" s="360">
        <v>8</v>
      </c>
      <c r="BI50" s="360">
        <v>8</v>
      </c>
      <c r="BJ50" s="360">
        <v>8</v>
      </c>
      <c r="BK50" s="360">
        <v>8</v>
      </c>
      <c r="BL50" s="360">
        <v>8</v>
      </c>
      <c r="BM50" s="231">
        <v>11</v>
      </c>
    </row>
  </sheetData>
  <sheetProtection formatColumns="0" formatRows="0" insertRows="0" deleteColumns="0" deleteRows="0" sort="0" autoFilter="0"/>
  <mergeCells count="151">
    <mergeCell ref="AI8:AI10"/>
    <mergeCell ref="D5:J5"/>
    <mergeCell ref="AB13:AI13"/>
    <mergeCell ref="Y11:Y13"/>
    <mergeCell ref="X11:X13"/>
    <mergeCell ref="AA11:AA12"/>
    <mergeCell ref="R11:R14"/>
    <mergeCell ref="S11:S14"/>
    <mergeCell ref="U11:U13"/>
    <mergeCell ref="V11:V13"/>
    <mergeCell ref="V14:AI14"/>
    <mergeCell ref="F11:F16"/>
    <mergeCell ref="I11:I15"/>
    <mergeCell ref="J11:J15"/>
    <mergeCell ref="L11:L15"/>
    <mergeCell ref="M11:M15"/>
    <mergeCell ref="O11:O14"/>
    <mergeCell ref="P11:P14"/>
    <mergeCell ref="L9:M9"/>
    <mergeCell ref="P9:P10"/>
    <mergeCell ref="R9:S9"/>
    <mergeCell ref="AB35:AB36"/>
    <mergeCell ref="O23:O26"/>
    <mergeCell ref="P23:P26"/>
    <mergeCell ref="R23:R26"/>
    <mergeCell ref="S23:S26"/>
    <mergeCell ref="AB23:AB24"/>
    <mergeCell ref="AD23:AD24"/>
    <mergeCell ref="AE23:AE24"/>
    <mergeCell ref="AA23:AA24"/>
    <mergeCell ref="AB29:AB30"/>
    <mergeCell ref="L35:L39"/>
    <mergeCell ref="M35:M39"/>
    <mergeCell ref="O35:O38"/>
    <mergeCell ref="P35:P38"/>
    <mergeCell ref="R35:R38"/>
    <mergeCell ref="S35:S38"/>
    <mergeCell ref="D35:D40"/>
    <mergeCell ref="E35:E40"/>
    <mergeCell ref="F35:F40"/>
    <mergeCell ref="G35:G40"/>
    <mergeCell ref="I35:I39"/>
    <mergeCell ref="J35:J39"/>
    <mergeCell ref="J40:AI40"/>
    <mergeCell ref="AD35:AD36"/>
    <mergeCell ref="AE35:AE36"/>
    <mergeCell ref="AH36:AI36"/>
    <mergeCell ref="AB37:AI37"/>
    <mergeCell ref="V38:AI38"/>
    <mergeCell ref="P39:AI39"/>
    <mergeCell ref="U35:U37"/>
    <mergeCell ref="V35:V37"/>
    <mergeCell ref="X35:X37"/>
    <mergeCell ref="Y35:Y37"/>
    <mergeCell ref="AA35:AA36"/>
    <mergeCell ref="L29:L33"/>
    <mergeCell ref="M29:M33"/>
    <mergeCell ref="O29:O32"/>
    <mergeCell ref="P29:P32"/>
    <mergeCell ref="R29:R32"/>
    <mergeCell ref="S29:S32"/>
    <mergeCell ref="D29:D34"/>
    <mergeCell ref="E29:E34"/>
    <mergeCell ref="F29:F34"/>
    <mergeCell ref="G29:G34"/>
    <mergeCell ref="I29:I33"/>
    <mergeCell ref="J29:J33"/>
    <mergeCell ref="J34:AI34"/>
    <mergeCell ref="AD29:AD30"/>
    <mergeCell ref="AE29:AE30"/>
    <mergeCell ref="AH30:AI30"/>
    <mergeCell ref="AB31:AI31"/>
    <mergeCell ref="V32:AI32"/>
    <mergeCell ref="P33:AI33"/>
    <mergeCell ref="U29:U31"/>
    <mergeCell ref="V29:V31"/>
    <mergeCell ref="X29:X31"/>
    <mergeCell ref="Y29:Y31"/>
    <mergeCell ref="AA29:AA30"/>
    <mergeCell ref="AH24:AI24"/>
    <mergeCell ref="AB25:AI25"/>
    <mergeCell ref="V26:AI26"/>
    <mergeCell ref="P27:AI27"/>
    <mergeCell ref="U23:U25"/>
    <mergeCell ref="V23:V25"/>
    <mergeCell ref="X23:X25"/>
    <mergeCell ref="Y23:Y25"/>
    <mergeCell ref="L23:L27"/>
    <mergeCell ref="M23:M27"/>
    <mergeCell ref="D23:D28"/>
    <mergeCell ref="E23:E28"/>
    <mergeCell ref="F23:F28"/>
    <mergeCell ref="G23:G28"/>
    <mergeCell ref="I23:I27"/>
    <mergeCell ref="J23:J27"/>
    <mergeCell ref="J28:AI28"/>
    <mergeCell ref="AD17:AD18"/>
    <mergeCell ref="AE17:AE18"/>
    <mergeCell ref="AH18:AI18"/>
    <mergeCell ref="AB19:AI19"/>
    <mergeCell ref="V20:AI20"/>
    <mergeCell ref="P21:AI21"/>
    <mergeCell ref="U17:U19"/>
    <mergeCell ref="V17:V19"/>
    <mergeCell ref="X17:X19"/>
    <mergeCell ref="Y17:Y19"/>
    <mergeCell ref="AA17:AA18"/>
    <mergeCell ref="AB17:AB18"/>
    <mergeCell ref="L17:L21"/>
    <mergeCell ref="M17:M21"/>
    <mergeCell ref="O17:O20"/>
    <mergeCell ref="P17:P20"/>
    <mergeCell ref="R17:R20"/>
    <mergeCell ref="D17:D22"/>
    <mergeCell ref="E17:E22"/>
    <mergeCell ref="F17:F22"/>
    <mergeCell ref="G17:G22"/>
    <mergeCell ref="I17:I21"/>
    <mergeCell ref="J17:J21"/>
    <mergeCell ref="J22:AI22"/>
    <mergeCell ref="P15:AI15"/>
    <mergeCell ref="J16:AI16"/>
    <mergeCell ref="G11:G16"/>
    <mergeCell ref="D11:D16"/>
    <mergeCell ref="E11:E16"/>
    <mergeCell ref="S17:S20"/>
    <mergeCell ref="AB11:AB12"/>
    <mergeCell ref="AD11:AD12"/>
    <mergeCell ref="AE11:AE12"/>
    <mergeCell ref="AH12:AI12"/>
    <mergeCell ref="D4:J4"/>
    <mergeCell ref="D8:D10"/>
    <mergeCell ref="E8:E10"/>
    <mergeCell ref="J8:J10"/>
    <mergeCell ref="AH9:AH10"/>
    <mergeCell ref="Z9:AA10"/>
    <mergeCell ref="AF9:AG10"/>
    <mergeCell ref="X9:Y9"/>
    <mergeCell ref="V9:V10"/>
    <mergeCell ref="T9:U10"/>
    <mergeCell ref="L8:P8"/>
    <mergeCell ref="R8:V8"/>
    <mergeCell ref="X8:AB8"/>
    <mergeCell ref="AD8:AH8"/>
    <mergeCell ref="F8:G8"/>
    <mergeCell ref="F9:F10"/>
    <mergeCell ref="G9:G10"/>
    <mergeCell ref="N9:O10"/>
    <mergeCell ref="H8:I10"/>
    <mergeCell ref="AB9:AB10"/>
    <mergeCell ref="AD9:AE9"/>
  </mergeCells>
  <dataValidations count="2">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17 AC23 AC35 AC29 AC11">
      <formula1>list_typeTKO</formula1>
    </dataValidation>
    <dataValidation type="textLength" operator="lessThanOrEqual" allowBlank="1" showInputMessage="1" showErrorMessage="1" errorTitle="Ошибка" error="Допускается ввод не более 900 символов!" sqref="AI29 AI23 P17:P20 J23:J27 J29:J33 AI35 J35:J39 P35:P38 P29:P32 AI17 J17:J21 P23:P26 AI11 J11:J15 P11:P14">
      <formula1>900</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CCCCFF"/>
  </sheetPr>
  <dimension ref="A1:F5"/>
  <sheetViews>
    <sheetView showGridLines="0" zoomScale="90" workbookViewId="0"/>
  </sheetViews>
  <sheetFormatPr defaultColWidth="9.140625" defaultRowHeight="11.25" customHeight="1"/>
  <cols>
    <col min="1" max="1" width="1.7109375" style="1775" customWidth="1"/>
    <col min="2" max="2" width="34.5703125" style="1775" customWidth="1"/>
    <col min="3" max="3" width="85" style="1775" customWidth="1"/>
    <col min="4" max="4" width="17" style="1775" customWidth="1"/>
    <col min="5" max="5" width="8" style="1775" customWidth="1"/>
    <col min="6" max="6" width="9.140625" style="1775" hidden="1"/>
  </cols>
  <sheetData>
    <row r="1" spans="1:6" ht="3" customHeight="1">
      <c r="F1" s="29" t="s">
        <v>14</v>
      </c>
    </row>
    <row r="2" spans="1:6" ht="22.5" customHeight="1">
      <c r="B2" s="3091" t="s">
        <v>1946</v>
      </c>
      <c r="C2" s="3091"/>
      <c r="D2" s="3091"/>
      <c r="E2" s="206"/>
      <c r="F2" s="29">
        <v>22</v>
      </c>
    </row>
    <row r="3" spans="1:6" ht="3" customHeight="1">
      <c r="F3" s="29">
        <v>3</v>
      </c>
    </row>
    <row r="4" spans="1:6" ht="23.25" customHeight="1">
      <c r="B4" s="2015" t="s">
        <v>1947</v>
      </c>
      <c r="C4" s="320" t="s">
        <v>1948</v>
      </c>
      <c r="D4" s="320" t="s">
        <v>1949</v>
      </c>
      <c r="F4" s="29">
        <v>22</v>
      </c>
    </row>
    <row r="5" spans="1:6" ht="11.25" hidden="1" customHeight="1">
      <c r="A5" s="29" t="s">
        <v>87</v>
      </c>
      <c r="B5" s="29">
        <v>34</v>
      </c>
      <c r="C5" s="29">
        <v>85</v>
      </c>
      <c r="D5" s="29">
        <v>17</v>
      </c>
      <c r="E5" s="29">
        <v>8</v>
      </c>
      <c r="F5" s="29">
        <v>11</v>
      </c>
    </row>
  </sheetData>
  <sheetProtection formatColumns="0" formatRows="0" insertRows="0" deleteColumns="0" deleteRows="0" sort="0" autoFilter="0"/>
  <autoFilter ref="B4:D4"/>
  <mergeCells count="1">
    <mergeCell ref="B2:D2"/>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2:GB215"/>
  <sheetViews>
    <sheetView showGridLines="0" zoomScale="85" workbookViewId="0"/>
  </sheetViews>
  <sheetFormatPr defaultColWidth="9.140625" defaultRowHeight="17.100000000000001" customHeight="1"/>
  <cols>
    <col min="1" max="1" width="26.5703125" style="1775" customWidth="1"/>
    <col min="2" max="2" width="10" style="1775" customWidth="1"/>
    <col min="3" max="3" width="9.140625" style="1775"/>
    <col min="4" max="4" width="11.140625" style="1775" customWidth="1"/>
    <col min="5" max="5" width="16.5703125" style="1775" customWidth="1"/>
    <col min="6" max="6" width="16.28515625" style="1775" customWidth="1"/>
    <col min="7" max="7" width="19.140625" style="1775" customWidth="1"/>
    <col min="8" max="11" width="10" style="1775" customWidth="1"/>
    <col min="12" max="12" width="12.7109375" style="1775" customWidth="1"/>
    <col min="13" max="13" width="61.28515625" style="1775" customWidth="1"/>
    <col min="14" max="14" width="10" style="1775" customWidth="1"/>
    <col min="15" max="17" width="23.7109375" style="1775" customWidth="1"/>
    <col min="18" max="18" width="11.7109375" style="1775" customWidth="1"/>
    <col min="19" max="19" width="8.5703125" style="1775" customWidth="1"/>
    <col min="20" max="20" width="11.7109375" style="1775" customWidth="1"/>
    <col min="21" max="21" width="8.5703125" style="1775" customWidth="1"/>
    <col min="22" max="22" width="4.7109375" style="1775" customWidth="1"/>
    <col min="23" max="23" width="115.7109375" style="1775" customWidth="1"/>
    <col min="24" max="24" width="115.28515625" style="1775" customWidth="1"/>
    <col min="25" max="27" width="9.140625" style="1775"/>
    <col min="28" max="28" width="115.7109375" style="1775" customWidth="1"/>
    <col min="29" max="29" width="9.140625" style="1775"/>
    <col min="30" max="90" width="115.7109375" style="1775" customWidth="1"/>
    <col min="91" max="184" width="9.140625" style="1775"/>
  </cols>
  <sheetData>
    <row r="2" spans="1:80" s="1741" customFormat="1" ht="17.25" customHeight="1">
      <c r="A2" s="1741" t="s">
        <v>1950</v>
      </c>
    </row>
    <row r="4" spans="1:80" s="202" customFormat="1" ht="15" customHeight="1">
      <c r="C4" s="1742"/>
      <c r="D4" s="53"/>
      <c r="E4" s="314"/>
    </row>
    <row r="6" spans="1:80" s="1741" customFormat="1" ht="17.25" customHeight="1">
      <c r="A6" s="1741" t="s">
        <v>1951</v>
      </c>
    </row>
    <row r="8" spans="1:80" s="202" customFormat="1" ht="17.25" customHeight="1">
      <c r="C8" s="1743"/>
      <c r="D8" s="53"/>
      <c r="E8" s="54"/>
    </row>
    <row r="11" spans="1:80" s="1741" customFormat="1" ht="17.25" customHeight="1">
      <c r="A11" s="1741" t="s">
        <v>1952</v>
      </c>
    </row>
    <row r="13" spans="1:80" s="1745" customFormat="1" ht="15" customHeight="1">
      <c r="A13" s="2874">
        <v>1</v>
      </c>
      <c r="B13" s="1087"/>
      <c r="C13" s="732" t="s">
        <v>179</v>
      </c>
      <c r="D13" s="1744"/>
      <c r="E13" s="1731">
        <f>A13</f>
        <v>1</v>
      </c>
      <c r="F13" s="735"/>
      <c r="G13" s="477" t="str">
        <f>"Территория "&amp;E13</f>
        <v>Территория 1</v>
      </c>
      <c r="H13" s="723"/>
      <c r="I13" s="723"/>
      <c r="J13" s="720"/>
      <c r="K13" s="1551"/>
      <c r="L13" s="1551"/>
      <c r="M13" s="1551"/>
      <c r="N13" s="164"/>
      <c r="O13" s="1551"/>
      <c r="P13" s="163"/>
      <c r="Q13" s="163"/>
      <c r="R13" s="163"/>
      <c r="S13" s="163"/>
    </row>
    <row r="14" spans="1:80" s="1775" customFormat="1" ht="15" customHeight="1">
      <c r="A14" s="2874"/>
      <c r="B14" s="1087">
        <v>1</v>
      </c>
      <c r="C14" s="1087"/>
      <c r="D14" s="731"/>
      <c r="E14" s="1739" t="str">
        <f>A13&amp;"."&amp;B14</f>
        <v>1.1</v>
      </c>
      <c r="F14" s="734">
        <f>$F$20</f>
        <v>0</v>
      </c>
      <c r="G14" s="724"/>
      <c r="H14" s="724"/>
      <c r="I14" s="722"/>
      <c r="J14" s="1551"/>
      <c r="K14" s="1563"/>
      <c r="L14" s="1563"/>
      <c r="M14" s="1551" t="str">
        <f t="array" ref="M14">IF(ISERROR(MATCH(MID(N14,1,250),MID(note_ter,1,250),0)),"n","y")</f>
        <v>n</v>
      </c>
      <c r="N14" s="1563"/>
      <c r="O14" s="1551" t="str">
        <f>H14&amp;"("&amp;I14&amp;")"</f>
        <v>()</v>
      </c>
      <c r="P14" s="1087"/>
      <c r="Q14" s="1087"/>
      <c r="R14" s="357"/>
      <c r="S14" s="1087"/>
      <c r="T14" s="1087"/>
      <c r="U14" s="1087"/>
      <c r="V14" s="359"/>
      <c r="W14" s="359"/>
      <c r="X14" s="356"/>
      <c r="Y14" s="356"/>
      <c r="Z14" s="356"/>
      <c r="AA14" s="356"/>
      <c r="AB14" s="356"/>
      <c r="AC14" s="356"/>
      <c r="AD14" s="356"/>
      <c r="AE14" s="356"/>
      <c r="AF14" s="356"/>
      <c r="AG14" s="356"/>
      <c r="AH14" s="356"/>
      <c r="AI14" s="356"/>
      <c r="AJ14" s="356"/>
      <c r="AK14" s="356"/>
      <c r="AL14" s="356"/>
      <c r="AM14" s="356"/>
      <c r="AN14" s="356"/>
      <c r="AO14" s="356"/>
      <c r="AP14" s="356"/>
      <c r="AQ14" s="356"/>
      <c r="AR14" s="356"/>
      <c r="AS14" s="356"/>
      <c r="AT14" s="356"/>
      <c r="AU14" s="356"/>
      <c r="AV14" s="356"/>
      <c r="AW14" s="356"/>
      <c r="AX14" s="356"/>
      <c r="AY14" s="356"/>
      <c r="AZ14" s="356"/>
      <c r="BA14" s="356"/>
      <c r="BB14" s="356"/>
      <c r="BC14" s="356"/>
      <c r="BD14" s="356"/>
      <c r="BE14" s="356"/>
      <c r="BF14" s="356"/>
      <c r="BG14" s="356"/>
      <c r="BH14" s="356"/>
      <c r="BI14" s="356"/>
      <c r="BJ14" s="356"/>
      <c r="BK14" s="356"/>
      <c r="BL14" s="356"/>
      <c r="BM14" s="356"/>
      <c r="BN14" s="356"/>
      <c r="BO14" s="356"/>
      <c r="BP14" s="356"/>
      <c r="BQ14" s="356"/>
      <c r="BR14" s="356"/>
      <c r="BS14" s="359"/>
      <c r="BT14" s="359"/>
      <c r="BU14" s="359"/>
      <c r="BV14" s="359"/>
      <c r="BW14" s="359"/>
      <c r="BX14" s="359"/>
      <c r="BY14" s="359"/>
      <c r="BZ14" s="359"/>
      <c r="CA14" s="359"/>
      <c r="CB14" s="359"/>
    </row>
    <row r="15" spans="1:80" s="1775" customFormat="1" ht="15" customHeight="1">
      <c r="A15" s="2874"/>
      <c r="B15" s="1087"/>
      <c r="C15" s="349"/>
      <c r="D15" s="732"/>
      <c r="E15" s="358"/>
      <c r="F15" s="115"/>
      <c r="G15" s="352" t="s">
        <v>107</v>
      </c>
      <c r="H15" s="125"/>
      <c r="I15" s="361"/>
      <c r="J15" s="1563"/>
      <c r="K15" s="1563"/>
      <c r="L15" s="1563"/>
      <c r="M15" s="1563"/>
      <c r="N15" s="1551"/>
      <c r="O15" s="1563"/>
      <c r="P15" s="1087"/>
      <c r="Q15" s="1087"/>
      <c r="R15" s="357"/>
      <c r="S15" s="1087"/>
      <c r="T15" s="1087"/>
      <c r="U15" s="1087"/>
      <c r="V15" s="359"/>
      <c r="W15" s="359"/>
      <c r="X15" s="356"/>
      <c r="Y15" s="356"/>
      <c r="Z15" s="356"/>
      <c r="AA15" s="356"/>
      <c r="AB15" s="356"/>
      <c r="AC15" s="356"/>
      <c r="AD15" s="356"/>
      <c r="AE15" s="356"/>
      <c r="AF15" s="356"/>
      <c r="AG15" s="356"/>
      <c r="AH15" s="356"/>
      <c r="AI15" s="356"/>
      <c r="AJ15" s="356"/>
      <c r="AK15" s="356"/>
      <c r="AL15" s="356"/>
      <c r="AM15" s="356"/>
      <c r="AN15" s="356"/>
      <c r="AO15" s="356"/>
      <c r="AP15" s="356"/>
      <c r="AQ15" s="356"/>
      <c r="AR15" s="356"/>
      <c r="AS15" s="356"/>
      <c r="AT15" s="356"/>
      <c r="AU15" s="356"/>
      <c r="AV15" s="356"/>
      <c r="AW15" s="356"/>
      <c r="AX15" s="356"/>
      <c r="AY15" s="356"/>
      <c r="AZ15" s="356"/>
      <c r="BA15" s="356"/>
      <c r="BB15" s="356"/>
      <c r="BC15" s="356"/>
      <c r="BD15" s="356"/>
      <c r="BE15" s="356"/>
      <c r="BF15" s="356"/>
      <c r="BG15" s="356"/>
      <c r="BH15" s="356"/>
      <c r="BI15" s="356"/>
      <c r="BJ15" s="356"/>
      <c r="BK15" s="356"/>
      <c r="BL15" s="356"/>
      <c r="BM15" s="356"/>
      <c r="BN15" s="356"/>
      <c r="BO15" s="356"/>
      <c r="BP15" s="356"/>
      <c r="BQ15" s="356"/>
      <c r="BR15" s="356"/>
      <c r="BS15" s="359"/>
      <c r="BT15" s="359"/>
      <c r="BU15" s="359"/>
      <c r="BV15" s="359"/>
      <c r="BW15" s="359"/>
      <c r="BX15" s="359"/>
      <c r="BY15" s="359"/>
      <c r="BZ15" s="359"/>
      <c r="CA15" s="359"/>
      <c r="CB15" s="359"/>
    </row>
    <row r="17" spans="1:80" s="1741" customFormat="1" ht="17.25" customHeight="1">
      <c r="A17" s="1741" t="s">
        <v>1953</v>
      </c>
    </row>
    <row r="19" spans="1:80" s="1775" customFormat="1" ht="15" customHeight="1">
      <c r="A19" s="1807"/>
      <c r="B19" s="1293">
        <v>1</v>
      </c>
      <c r="C19" s="1293"/>
      <c r="D19" s="731" t="s">
        <v>179</v>
      </c>
      <c r="E19" s="1803"/>
      <c r="F19" s="1808">
        <f>$F$20</f>
        <v>0</v>
      </c>
      <c r="G19" s="1812"/>
      <c r="H19" s="1812"/>
      <c r="I19" s="1810"/>
      <c r="J19" s="1551"/>
      <c r="K19" s="1563"/>
      <c r="L19" s="1563"/>
      <c r="M19" s="1551" t="str">
        <f t="array" ref="M19">IF(ISERROR(MATCH(MID(N19,1,250),MID(note_ter,1,250),0)),"n","y")</f>
        <v>n</v>
      </c>
      <c r="N19" s="1563"/>
      <c r="O19" s="1551" t="str">
        <f>H19&amp;"("&amp;I19&amp;")"</f>
        <v>()</v>
      </c>
      <c r="P19" s="1293"/>
      <c r="Q19" s="1293"/>
      <c r="R19" s="357"/>
      <c r="S19" s="1293"/>
      <c r="T19" s="1293"/>
      <c r="U19" s="1293"/>
      <c r="V19" s="764"/>
      <c r="W19" s="764"/>
      <c r="X19" s="564"/>
      <c r="Y19" s="564"/>
      <c r="Z19" s="564"/>
      <c r="AA19" s="564"/>
      <c r="AB19" s="564"/>
      <c r="AC19" s="564"/>
      <c r="AD19" s="564"/>
      <c r="AE19" s="564"/>
      <c r="AF19" s="564"/>
      <c r="AG19" s="564"/>
      <c r="AH19" s="564"/>
      <c r="AI19" s="564"/>
      <c r="AJ19" s="564"/>
      <c r="AK19" s="564"/>
      <c r="AL19" s="564"/>
      <c r="AM19" s="564"/>
      <c r="AN19" s="564"/>
      <c r="AO19" s="564"/>
      <c r="AP19" s="564"/>
      <c r="AQ19" s="564"/>
      <c r="AR19" s="564"/>
      <c r="AS19" s="564"/>
      <c r="AT19" s="564"/>
      <c r="AU19" s="564"/>
      <c r="AV19" s="564"/>
      <c r="AW19" s="564"/>
      <c r="AX19" s="564"/>
      <c r="AY19" s="564"/>
      <c r="AZ19" s="564"/>
      <c r="BA19" s="564"/>
      <c r="BB19" s="564"/>
      <c r="BC19" s="564"/>
      <c r="BD19" s="564"/>
      <c r="BE19" s="564"/>
      <c r="BF19" s="564"/>
      <c r="BG19" s="564"/>
      <c r="BH19" s="564"/>
      <c r="BI19" s="564"/>
      <c r="BJ19" s="564"/>
      <c r="BK19" s="564"/>
      <c r="BL19" s="564"/>
      <c r="BM19" s="564"/>
      <c r="BN19" s="564"/>
      <c r="BO19" s="564"/>
      <c r="BP19" s="564"/>
      <c r="BQ19" s="564"/>
      <c r="BR19" s="564"/>
      <c r="BS19" s="764"/>
      <c r="BT19" s="764"/>
      <c r="BU19" s="764"/>
      <c r="BV19" s="764"/>
      <c r="BW19" s="764"/>
      <c r="BX19" s="764"/>
      <c r="BY19" s="764"/>
      <c r="BZ19" s="764"/>
      <c r="CA19" s="764"/>
      <c r="CB19" s="764"/>
    </row>
    <row r="21" spans="1:80" s="1775" customFormat="1" ht="15" customHeight="1">
      <c r="A21" s="1741" t="s">
        <v>1954</v>
      </c>
      <c r="B21" s="1741"/>
      <c r="C21" s="1741"/>
      <c r="D21" s="1741"/>
      <c r="E21" s="1741"/>
      <c r="F21" s="1741"/>
      <c r="G21" s="1741"/>
      <c r="H21" s="1741"/>
      <c r="I21" s="1741"/>
      <c r="J21" s="1741"/>
      <c r="K21" s="1741"/>
      <c r="L21" s="1741"/>
      <c r="M21" s="1741"/>
      <c r="N21" s="1741"/>
      <c r="O21" s="1741"/>
      <c r="P21" s="1741"/>
      <c r="Q21" s="1741"/>
      <c r="R21" s="1741"/>
      <c r="S21" s="1741"/>
      <c r="T21" s="1741"/>
      <c r="U21" s="122"/>
      <c r="V21" s="1741"/>
      <c r="W21" s="1741"/>
    </row>
    <row r="22" spans="1:80" s="1775" customFormat="1" ht="15" customHeight="1">
      <c r="U22" s="123"/>
    </row>
    <row r="23" spans="1:80" s="1778" customFormat="1" ht="15" customHeight="1">
      <c r="A23" s="360"/>
      <c r="B23" s="360"/>
      <c r="C23" s="1654" t="s">
        <v>179</v>
      </c>
      <c r="D23" s="2769" t="s">
        <v>114</v>
      </c>
      <c r="E23" s="2770"/>
      <c r="F23" s="2768" t="s">
        <v>19</v>
      </c>
      <c r="G23" s="3126"/>
      <c r="H23" s="2758">
        <v>1</v>
      </c>
      <c r="I23" s="3128" t="str">
        <f>IF(U23="","",INDEX(TERRITORY_MR_LIST,MATCH(U23,TERRITORY_LIST_ID,0)))</f>
        <v/>
      </c>
      <c r="J23" s="2768" t="s">
        <v>19</v>
      </c>
      <c r="K23" s="763"/>
      <c r="L23" s="1708" t="s">
        <v>114</v>
      </c>
      <c r="M23" s="540"/>
      <c r="N23" s="541"/>
      <c r="O23" s="541"/>
      <c r="P23" s="541"/>
      <c r="Q23" s="541"/>
      <c r="R23" s="541"/>
      <c r="S23" s="541"/>
      <c r="T23" s="541"/>
      <c r="U23" s="542"/>
      <c r="V23" s="541"/>
      <c r="W23" s="541"/>
      <c r="X23" s="532"/>
      <c r="Y23" s="532" t="s">
        <v>123</v>
      </c>
      <c r="Z23" s="532">
        <v>1705000</v>
      </c>
      <c r="AA23" s="532"/>
      <c r="AB23" s="532"/>
      <c r="AC23" s="532"/>
      <c r="AD23" s="532"/>
      <c r="AE23" s="532"/>
      <c r="AF23" s="532"/>
      <c r="AG23" s="532"/>
      <c r="AH23" s="532"/>
      <c r="AI23" s="532"/>
      <c r="AJ23" s="532"/>
      <c r="AK23" s="532"/>
      <c r="AL23" s="532"/>
    </row>
    <row r="24" spans="1:80" s="1778" customFormat="1" ht="15" customHeight="1">
      <c r="A24" s="360"/>
      <c r="B24" s="360"/>
      <c r="C24" s="114"/>
      <c r="D24" s="2769"/>
      <c r="E24" s="2771"/>
      <c r="F24" s="2768"/>
      <c r="G24" s="3127"/>
      <c r="H24" s="2758"/>
      <c r="I24" s="3129"/>
      <c r="J24" s="2768"/>
      <c r="K24" s="358"/>
      <c r="L24" s="115"/>
      <c r="M24" s="544" t="s">
        <v>124</v>
      </c>
      <c r="N24" s="541"/>
      <c r="O24" s="541"/>
      <c r="P24" s="541"/>
      <c r="Q24" s="541"/>
      <c r="R24" s="541"/>
      <c r="S24" s="541"/>
      <c r="T24" s="541"/>
      <c r="U24" s="542"/>
      <c r="V24" s="541"/>
      <c r="W24" s="541"/>
      <c r="X24" s="532"/>
      <c r="Y24" s="532"/>
      <c r="Z24" s="532"/>
      <c r="AA24" s="532"/>
      <c r="AB24" s="532"/>
      <c r="AC24" s="532"/>
      <c r="AD24" s="532"/>
      <c r="AE24" s="532"/>
      <c r="AF24" s="532"/>
      <c r="AG24" s="532"/>
      <c r="AH24" s="532"/>
      <c r="AI24" s="532"/>
      <c r="AJ24" s="532"/>
      <c r="AK24" s="532"/>
      <c r="AL24" s="532"/>
    </row>
    <row r="25" spans="1:80" s="1778" customFormat="1" ht="15" customHeight="1">
      <c r="A25" s="360"/>
      <c r="B25" s="360"/>
      <c r="C25" s="114"/>
      <c r="D25" s="2769"/>
      <c r="E25" s="2772"/>
      <c r="F25" s="2768"/>
      <c r="G25" s="358"/>
      <c r="H25" s="115"/>
      <c r="I25" s="517" t="s">
        <v>125</v>
      </c>
      <c r="J25" s="115"/>
      <c r="K25" s="115"/>
      <c r="L25" s="115"/>
      <c r="M25" s="545"/>
      <c r="N25" s="541"/>
      <c r="O25" s="541"/>
      <c r="P25" s="541"/>
      <c r="Q25" s="541"/>
      <c r="R25" s="541"/>
      <c r="S25" s="541"/>
      <c r="T25" s="541"/>
      <c r="U25" s="542"/>
      <c r="V25" s="541"/>
      <c r="W25" s="541"/>
      <c r="X25" s="532"/>
      <c r="Y25" s="532"/>
      <c r="Z25" s="532"/>
      <c r="AA25" s="532"/>
      <c r="AB25" s="532"/>
      <c r="AC25" s="532"/>
      <c r="AD25" s="532"/>
      <c r="AE25" s="532"/>
      <c r="AF25" s="532"/>
      <c r="AG25" s="532"/>
      <c r="AH25" s="532"/>
      <c r="AI25" s="532"/>
      <c r="AJ25" s="532"/>
      <c r="AK25" s="532"/>
      <c r="AL25" s="532"/>
    </row>
    <row r="26" spans="1:80" s="1775" customFormat="1" ht="15" customHeight="1">
      <c r="U26" s="123"/>
    </row>
    <row r="27" spans="1:80" s="1775" customFormat="1" ht="15" customHeight="1">
      <c r="A27" s="1741" t="s">
        <v>1955</v>
      </c>
      <c r="B27" s="1741"/>
      <c r="C27" s="1741"/>
      <c r="D27" s="1741"/>
      <c r="E27" s="1741"/>
      <c r="F27" s="1741"/>
      <c r="G27" s="1741"/>
      <c r="H27" s="1741"/>
      <c r="I27" s="1741"/>
      <c r="J27" s="1741"/>
      <c r="K27" s="1741"/>
      <c r="L27" s="1741"/>
      <c r="M27" s="1741"/>
      <c r="N27" s="1741"/>
      <c r="O27" s="1741"/>
      <c r="P27" s="1741"/>
      <c r="Q27" s="1741"/>
      <c r="R27" s="1741"/>
      <c r="S27" s="1741"/>
      <c r="T27" s="1741"/>
      <c r="U27" s="122"/>
      <c r="V27" s="1741"/>
      <c r="W27" s="1741"/>
    </row>
    <row r="28" spans="1:80" s="1775" customFormat="1" ht="15" customHeight="1">
      <c r="U28" s="123"/>
    </row>
    <row r="29" spans="1:80" s="1778" customFormat="1" ht="15" customHeight="1">
      <c r="A29" s="360"/>
      <c r="B29" s="360"/>
      <c r="C29" s="114"/>
      <c r="D29" s="1746"/>
      <c r="E29" s="1746"/>
      <c r="F29" s="1746"/>
      <c r="G29" s="3130" t="s">
        <v>179</v>
      </c>
      <c r="H29" s="2739">
        <v>1</v>
      </c>
      <c r="I29" s="3131" t="str">
        <f>IF(U29="","",INDEX(TERRITORY_MR_LIST,MATCH(U29,TERRITORY_LIST_ID,0)))</f>
        <v/>
      </c>
      <c r="J29" s="2768" t="s">
        <v>19</v>
      </c>
      <c r="K29" s="763"/>
      <c r="L29" s="1708" t="s">
        <v>114</v>
      </c>
      <c r="M29" s="540"/>
      <c r="N29" s="541"/>
      <c r="O29" s="541"/>
      <c r="P29" s="541"/>
      <c r="Q29" s="541"/>
      <c r="R29" s="541"/>
      <c r="S29" s="541"/>
      <c r="T29" s="541"/>
      <c r="U29" s="542"/>
      <c r="V29" s="541"/>
      <c r="W29" s="541"/>
      <c r="X29" s="532"/>
      <c r="Y29" s="532" t="s">
        <v>123</v>
      </c>
      <c r="Z29" s="532">
        <v>1705000</v>
      </c>
      <c r="AA29" s="532"/>
      <c r="AB29" s="532"/>
      <c r="AC29" s="532"/>
      <c r="AD29" s="532"/>
      <c r="AE29" s="532"/>
      <c r="AF29" s="532"/>
      <c r="AG29" s="532"/>
      <c r="AH29" s="532"/>
      <c r="AI29" s="532"/>
      <c r="AJ29" s="532"/>
      <c r="AK29" s="532"/>
      <c r="AL29" s="532"/>
    </row>
    <row r="30" spans="1:80" s="1778" customFormat="1" ht="15" customHeight="1">
      <c r="A30" s="360"/>
      <c r="B30" s="360"/>
      <c r="C30" s="114"/>
      <c r="D30" s="1746"/>
      <c r="E30" s="1746"/>
      <c r="F30" s="1746"/>
      <c r="G30" s="3130"/>
      <c r="H30" s="2739"/>
      <c r="I30" s="3131"/>
      <c r="J30" s="2768"/>
      <c r="K30" s="358"/>
      <c r="L30" s="115"/>
      <c r="M30" s="544" t="s">
        <v>124</v>
      </c>
      <c r="N30" s="541"/>
      <c r="O30" s="541"/>
      <c r="P30" s="541"/>
      <c r="Q30" s="541"/>
      <c r="R30" s="541"/>
      <c r="S30" s="541"/>
      <c r="T30" s="541"/>
      <c r="U30" s="542"/>
      <c r="V30" s="541"/>
      <c r="W30" s="541"/>
      <c r="X30" s="532"/>
      <c r="Y30" s="532"/>
      <c r="Z30" s="532"/>
      <c r="AA30" s="532"/>
      <c r="AB30" s="532"/>
      <c r="AC30" s="532"/>
      <c r="AD30" s="532"/>
      <c r="AE30" s="532"/>
      <c r="AF30" s="532"/>
      <c r="AG30" s="532"/>
      <c r="AH30" s="532"/>
      <c r="AI30" s="532"/>
      <c r="AJ30" s="532"/>
      <c r="AK30" s="532"/>
      <c r="AL30" s="532"/>
    </row>
    <row r="31" spans="1:80" s="1775" customFormat="1" ht="15" customHeight="1">
      <c r="U31" s="123"/>
    </row>
    <row r="32" spans="1:80" s="1775" customFormat="1" ht="15" customHeight="1">
      <c r="A32" s="1741" t="s">
        <v>1956</v>
      </c>
      <c r="B32" s="1741"/>
      <c r="C32" s="1741"/>
      <c r="D32" s="1741"/>
      <c r="E32" s="1741"/>
      <c r="F32" s="1741"/>
      <c r="G32" s="1741"/>
      <c r="H32" s="1741"/>
      <c r="I32" s="1741"/>
      <c r="J32" s="1741"/>
      <c r="K32" s="1741"/>
      <c r="L32" s="1741"/>
      <c r="M32" s="1741"/>
      <c r="N32" s="1741"/>
      <c r="O32" s="1741"/>
      <c r="P32" s="1741"/>
      <c r="Q32" s="1741"/>
      <c r="R32" s="1741"/>
      <c r="S32" s="1741"/>
      <c r="T32" s="1741"/>
      <c r="U32" s="122"/>
      <c r="V32" s="1741"/>
      <c r="W32" s="1741"/>
    </row>
    <row r="33" spans="1:38" s="1775" customFormat="1" ht="15" customHeight="1">
      <c r="U33" s="123"/>
    </row>
    <row r="34" spans="1:38" s="1778" customFormat="1" ht="15" customHeight="1">
      <c r="A34" s="360"/>
      <c r="B34" s="360"/>
      <c r="C34" s="114"/>
      <c r="D34" s="1746"/>
      <c r="E34" s="1746"/>
      <c r="F34" s="1746"/>
      <c r="G34" s="1746"/>
      <c r="H34" s="1746"/>
      <c r="I34" s="1746"/>
      <c r="J34" s="1746"/>
      <c r="K34" s="1725" t="s">
        <v>179</v>
      </c>
      <c r="L34" s="1655" t="s">
        <v>114</v>
      </c>
      <c r="M34" s="742"/>
      <c r="N34" s="743"/>
      <c r="O34" s="541"/>
      <c r="P34" s="541"/>
      <c r="Q34" s="541"/>
      <c r="R34" s="541"/>
      <c r="S34" s="541"/>
      <c r="T34" s="541"/>
      <c r="U34" s="542"/>
      <c r="V34" s="541"/>
      <c r="W34" s="541"/>
      <c r="X34" s="532"/>
      <c r="Y34" s="532" t="s">
        <v>123</v>
      </c>
      <c r="Z34" s="532">
        <v>1705000</v>
      </c>
      <c r="AA34" s="532"/>
      <c r="AB34" s="532"/>
      <c r="AC34" s="532"/>
      <c r="AD34" s="532"/>
      <c r="AE34" s="532"/>
      <c r="AF34" s="532"/>
      <c r="AG34" s="532"/>
      <c r="AH34" s="532"/>
      <c r="AI34" s="532"/>
      <c r="AJ34" s="532"/>
      <c r="AK34" s="532"/>
      <c r="AL34" s="532"/>
    </row>
    <row r="35" spans="1:38" s="1775" customFormat="1" ht="15" customHeight="1">
      <c r="U35" s="123"/>
    </row>
    <row r="36" spans="1:38" s="1775" customFormat="1" ht="15" customHeight="1">
      <c r="U36" s="123"/>
    </row>
    <row r="37" spans="1:38" s="1741" customFormat="1" ht="11.25" customHeight="1">
      <c r="A37" s="1741" t="s">
        <v>1957</v>
      </c>
    </row>
    <row r="38" spans="1:38" ht="11.25" customHeight="1"/>
    <row r="39" spans="1:38" s="392" customFormat="1" ht="22.5" customHeight="1">
      <c r="A39" s="1717"/>
      <c r="B39" s="394"/>
      <c r="C39" s="790"/>
      <c r="D39" s="377"/>
      <c r="E39" s="791"/>
      <c r="F39" s="1738"/>
      <c r="G39" s="1747"/>
      <c r="H39" s="412"/>
    </row>
    <row r="40" spans="1:38" ht="11.25" customHeight="1"/>
    <row r="41" spans="1:38" s="1741" customFormat="1" ht="11.25" customHeight="1">
      <c r="A41" s="1741" t="s">
        <v>1958</v>
      </c>
    </row>
    <row r="42" spans="1:38" ht="11.25" customHeight="1"/>
    <row r="43" spans="1:38" s="392" customFormat="1" ht="22.5" customHeight="1">
      <c r="A43" s="394"/>
      <c r="B43" s="394"/>
      <c r="C43" s="394"/>
      <c r="D43" s="377"/>
      <c r="E43" s="791"/>
      <c r="F43" s="792"/>
      <c r="G43" s="1747"/>
      <c r="H43" s="412"/>
    </row>
    <row r="44" spans="1:38" ht="11.25" customHeight="1"/>
    <row r="45" spans="1:38" s="1741" customFormat="1" ht="11.25" customHeight="1">
      <c r="A45" s="1741" t="s">
        <v>1959</v>
      </c>
    </row>
    <row r="46" spans="1:38" ht="11.25" customHeight="1"/>
    <row r="47" spans="1:38" s="392" customFormat="1" ht="24" customHeight="1">
      <c r="A47" s="2850" t="s">
        <v>358</v>
      </c>
      <c r="B47" s="439"/>
      <c r="C47" s="2861"/>
      <c r="D47" s="382" t="str">
        <f>A47</f>
        <v>5.1</v>
      </c>
      <c r="E47" s="379" t="s">
        <v>359</v>
      </c>
      <c r="F47" s="1898" t="s">
        <v>351</v>
      </c>
      <c r="G47" s="381" t="s">
        <v>360</v>
      </c>
      <c r="H47" s="412"/>
      <c r="I47" s="783"/>
    </row>
    <row r="48" spans="1:38" s="392" customFormat="1" ht="22.5" customHeight="1">
      <c r="A48" s="2850"/>
      <c r="B48" s="439"/>
      <c r="C48" s="2861"/>
      <c r="D48" s="377" t="str">
        <f>D47&amp;".1"</f>
        <v>5.1.1</v>
      </c>
      <c r="E48" s="376" t="s">
        <v>361</v>
      </c>
      <c r="F48" s="1899" t="s">
        <v>30</v>
      </c>
      <c r="G48" s="411"/>
      <c r="H48" s="412"/>
      <c r="I48" s="783"/>
    </row>
    <row r="49" spans="1:45" s="392" customFormat="1" ht="22.5" customHeight="1">
      <c r="A49" s="2850"/>
      <c r="B49" s="439"/>
      <c r="C49" s="2861"/>
      <c r="D49" s="377" t="str">
        <f>D47&amp;".2"</f>
        <v>5.1.2</v>
      </c>
      <c r="E49" s="376" t="s">
        <v>362</v>
      </c>
      <c r="F49" s="1658" t="s">
        <v>30</v>
      </c>
      <c r="G49" s="381" t="s">
        <v>363</v>
      </c>
      <c r="H49" s="412"/>
      <c r="I49" s="783"/>
    </row>
    <row r="50" spans="1:45" s="392" customFormat="1" ht="22.5" customHeight="1">
      <c r="A50" s="2850"/>
      <c r="B50" s="439"/>
      <c r="C50" s="2861"/>
      <c r="D50" s="377" t="str">
        <f>D47&amp;".3"</f>
        <v>5.1.3</v>
      </c>
      <c r="E50" s="376" t="s">
        <v>364</v>
      </c>
      <c r="F50" s="1899" t="s">
        <v>30</v>
      </c>
      <c r="G50" s="411"/>
      <c r="H50" s="412"/>
      <c r="I50" s="783"/>
    </row>
    <row r="51" spans="1:45" s="392" customFormat="1" ht="22.5" customHeight="1">
      <c r="A51" s="2850"/>
      <c r="B51" s="439"/>
      <c r="C51" s="2861"/>
      <c r="D51" s="377" t="str">
        <f>D47&amp;".4"</f>
        <v>5.1.4</v>
      </c>
      <c r="E51" s="376" t="s">
        <v>365</v>
      </c>
      <c r="F51" s="1899" t="s">
        <v>30</v>
      </c>
      <c r="G51" s="381" t="s">
        <v>366</v>
      </c>
      <c r="H51" s="412"/>
      <c r="I51" s="783"/>
    </row>
    <row r="54" spans="1:45" s="1741" customFormat="1" ht="17.25" customHeight="1">
      <c r="A54" s="1741" t="s">
        <v>1960</v>
      </c>
    </row>
    <row r="56" spans="1:45" s="1539" customFormat="1" ht="18.75" customHeight="1">
      <c r="A56" s="29"/>
      <c r="B56" s="1748"/>
      <c r="C56" s="1748"/>
      <c r="D56" s="1749"/>
      <c r="E56" s="1735"/>
      <c r="F56" s="799">
        <v>13</v>
      </c>
      <c r="G56" s="798"/>
      <c r="H56" s="724"/>
      <c r="I56" s="722"/>
      <c r="J56" s="457" t="s">
        <v>71</v>
      </c>
      <c r="K56" s="1750" t="s">
        <v>30</v>
      </c>
      <c r="L56" s="29"/>
      <c r="M56" s="1563"/>
      <c r="N56" s="1563"/>
      <c r="O56" s="1563"/>
      <c r="P56" s="453" t="s">
        <v>437</v>
      </c>
      <c r="Q56" s="453" t="s">
        <v>438</v>
      </c>
      <c r="R56" s="454" t="s">
        <v>439</v>
      </c>
      <c r="S56" s="1563" t="s">
        <v>440</v>
      </c>
      <c r="T56" s="1563"/>
      <c r="U56" s="1563"/>
      <c r="V56" s="1563"/>
    </row>
    <row r="58" spans="1:45" s="1741" customFormat="1" ht="11.25" customHeight="1">
      <c r="A58" s="1741" t="s">
        <v>1961</v>
      </c>
    </row>
    <row r="60" spans="1:45" s="1562" customFormat="1" ht="14.25" customHeight="1">
      <c r="C60" s="1615"/>
      <c r="D60" s="1794"/>
      <c r="E60" s="1703" t="s">
        <v>30</v>
      </c>
      <c r="F60" s="1793"/>
      <c r="G60" s="787"/>
      <c r="H60" s="1704"/>
      <c r="I60" s="1704"/>
      <c r="J60" s="370"/>
      <c r="K60" s="1788"/>
      <c r="L60" s="369"/>
      <c r="M60" s="1788"/>
      <c r="N60" s="370"/>
      <c r="O60" s="1788"/>
      <c r="P60" s="370"/>
      <c r="Q60" s="1788"/>
      <c r="R60" s="370"/>
      <c r="S60" s="785"/>
      <c r="T60" s="1704"/>
      <c r="U60" s="370"/>
      <c r="V60" s="370"/>
      <c r="W60" s="1792"/>
      <c r="X60" s="1704"/>
      <c r="Y60" s="370"/>
      <c r="Z60" s="370"/>
      <c r="AA60" s="1792"/>
      <c r="AB60" s="1704"/>
      <c r="AC60" s="370"/>
      <c r="AD60" s="1792"/>
      <c r="AE60" s="29"/>
      <c r="AF60" s="29"/>
      <c r="AG60" s="29"/>
      <c r="AH60" s="29"/>
      <c r="AJ60" s="1563"/>
      <c r="AK60" s="1563"/>
      <c r="AL60" s="1563"/>
      <c r="AM60" s="1563"/>
      <c r="AN60" s="1563"/>
      <c r="AO60" s="1563"/>
      <c r="AP60" s="1551" t="s">
        <v>426</v>
      </c>
      <c r="AQ60" s="1551" t="s">
        <v>426</v>
      </c>
      <c r="AR60" s="1563"/>
      <c r="AS60" s="1563"/>
    </row>
    <row r="62" spans="1:45" s="1741" customFormat="1" ht="11.25" customHeight="1">
      <c r="A62" s="1741" t="s">
        <v>1962</v>
      </c>
    </row>
    <row r="64" spans="1:45" s="1748" customFormat="1" ht="15" customHeight="1">
      <c r="A64" s="83" t="s">
        <v>95</v>
      </c>
      <c r="B64" s="65" t="s">
        <v>30</v>
      </c>
      <c r="C64" s="1751"/>
      <c r="D64" s="68"/>
      <c r="E64" s="318"/>
      <c r="F64" s="318"/>
      <c r="G64" s="1729"/>
      <c r="H64" s="1750"/>
      <c r="I64" s="1730"/>
      <c r="K64" s="210"/>
      <c r="L64" s="211"/>
    </row>
    <row r="66" spans="1:30" s="1741" customFormat="1" ht="11.25" customHeight="1">
      <c r="A66" s="1741" t="s">
        <v>1963</v>
      </c>
    </row>
    <row r="68" spans="1:30" s="1562" customFormat="1" ht="14.25" customHeight="1">
      <c r="A68" s="281"/>
      <c r="B68" s="1087"/>
      <c r="C68" s="313"/>
      <c r="D68" s="1736"/>
      <c r="E68" s="816"/>
      <c r="F68" s="1750"/>
      <c r="G68" s="29"/>
      <c r="I68" s="1551"/>
      <c r="J68" s="1551"/>
    </row>
    <row r="70" spans="1:30" s="1741" customFormat="1" ht="11.25" customHeight="1">
      <c r="A70" s="1741" t="s">
        <v>1964</v>
      </c>
    </row>
    <row r="72" spans="1:30" s="1562" customFormat="1" ht="27" customHeight="1">
      <c r="A72" s="1093"/>
      <c r="B72" s="1093"/>
      <c r="C72" s="1093"/>
      <c r="D72" s="1087"/>
      <c r="E72" s="1752"/>
      <c r="F72" s="3092"/>
      <c r="G72" s="3093"/>
      <c r="H72" s="3094" t="s">
        <v>71</v>
      </c>
      <c r="I72" s="3096"/>
      <c r="J72" s="3098"/>
      <c r="K72" s="3100"/>
      <c r="L72" s="3111"/>
      <c r="M72" s="3111"/>
      <c r="N72" s="3134"/>
      <c r="O72" s="3134"/>
      <c r="P72" s="3135" t="e">
        <f>DATEDIF(DATEVALUE(N72),DATEVALUE(O72),"y")&amp;"г. "&amp;DATEDIF(DATEVALUE(N72),DATEVALUE(O72),"ym")&amp;"мес. "&amp;DATEVALUE(O72)-DATE(YEAR(DATEVALUE(O72)),MONTH(DATEVALUE(O72)),1)&amp;"дн. "</f>
        <v>#VALUE!</v>
      </c>
      <c r="Q72" s="3112"/>
      <c r="R72" s="3112"/>
      <c r="S72" s="3112"/>
      <c r="T72" s="3098"/>
      <c r="U72" s="3112"/>
      <c r="V72" s="3112"/>
      <c r="W72" s="3112"/>
      <c r="X72" s="3098"/>
      <c r="Y72" s="3132" t="s">
        <v>71</v>
      </c>
      <c r="Z72" s="1734"/>
      <c r="AA72" s="1718">
        <v>1</v>
      </c>
      <c r="AB72" s="1169"/>
      <c r="AD72" s="1563" t="s">
        <v>1965</v>
      </c>
    </row>
    <row r="73" spans="1:30" s="1562" customFormat="1" ht="10.5" customHeight="1">
      <c r="A73" s="1093"/>
      <c r="B73" s="1093"/>
      <c r="C73" s="1093"/>
      <c r="D73" s="1087"/>
      <c r="E73" s="877"/>
      <c r="F73" s="3092"/>
      <c r="G73" s="3093"/>
      <c r="H73" s="3095"/>
      <c r="I73" s="3097"/>
      <c r="J73" s="3099"/>
      <c r="K73" s="3100"/>
      <c r="L73" s="3111"/>
      <c r="M73" s="3111"/>
      <c r="N73" s="3134"/>
      <c r="O73" s="3134"/>
      <c r="P73" s="3135"/>
      <c r="Q73" s="3112"/>
      <c r="R73" s="3112"/>
      <c r="S73" s="3112"/>
      <c r="T73" s="3099"/>
      <c r="U73" s="3112"/>
      <c r="V73" s="3112"/>
      <c r="W73" s="3112"/>
      <c r="X73" s="3099"/>
      <c r="Y73" s="3133"/>
      <c r="Z73" s="285"/>
      <c r="AA73" s="509"/>
      <c r="AB73" s="589" t="s">
        <v>1966</v>
      </c>
    </row>
    <row r="75" spans="1:30" s="1741" customFormat="1" ht="11.25" customHeight="1">
      <c r="A75" s="1741" t="s">
        <v>1967</v>
      </c>
    </row>
    <row r="77" spans="1:30" s="1562" customFormat="1" ht="27" customHeight="1">
      <c r="A77" s="1093"/>
      <c r="B77" s="1093"/>
      <c r="C77" s="1093"/>
      <c r="D77" s="1087"/>
      <c r="E77" s="1752"/>
      <c r="F77" s="1723"/>
      <c r="G77" s="1673"/>
      <c r="H77" s="1674"/>
      <c r="I77" s="1675"/>
      <c r="J77" s="1676"/>
      <c r="K77" s="1677"/>
      <c r="L77" s="1678"/>
      <c r="M77" s="1678"/>
      <c r="N77" s="1679"/>
      <c r="O77" s="1679"/>
      <c r="P77" s="1680"/>
      <c r="Q77" s="1681"/>
      <c r="R77" s="1681"/>
      <c r="S77" s="1681"/>
      <c r="T77" s="1676"/>
      <c r="U77" s="1681"/>
      <c r="V77" s="1681"/>
      <c r="W77" s="1681"/>
      <c r="X77" s="1676"/>
      <c r="Y77" s="1674"/>
      <c r="Z77" s="1734"/>
      <c r="AA77" s="1718">
        <v>1</v>
      </c>
      <c r="AB77" s="1169"/>
      <c r="AD77" s="1563" t="s">
        <v>1965</v>
      </c>
    </row>
    <row r="79" spans="1:30" s="1741" customFormat="1" ht="11.25" customHeight="1">
      <c r="A79" s="1741" t="s">
        <v>1968</v>
      </c>
    </row>
    <row r="80" spans="1:30" ht="17.25" customHeight="1"/>
    <row r="81" spans="1:58" s="1562" customFormat="1" ht="21" customHeight="1">
      <c r="A81" s="1094"/>
      <c r="B81" s="1093"/>
      <c r="C81" s="1093"/>
      <c r="D81" s="1087"/>
      <c r="E81" s="1097"/>
      <c r="F81" s="1049" t="e">
        <f>INDEX(IP_MAIN_LIST_NAME_IP,MATCH(A81,IP_MAIN_LIST_IP_ID,0))&amp;" ("&amp;INDEX(IP_MAIN_START_DATE,MATCH(A81,IP_MAIN_LIST_IP_ID,0))&amp;"-"&amp;INDEX(IP_MAIN_END_DATE,MATCH(A81,IP_MAIN_LIST_IP_ID,0))&amp;")"</f>
        <v>#N/A</v>
      </c>
      <c r="G81" s="1050"/>
      <c r="H81" s="1050"/>
      <c r="I81" s="1112"/>
      <c r="J81" s="1112"/>
      <c r="K81" s="1113"/>
      <c r="L81" s="1113"/>
      <c r="M81" s="1113"/>
      <c r="N81" s="1114"/>
      <c r="O81" s="1114"/>
      <c r="P81" s="1114"/>
      <c r="Q81" s="1114"/>
      <c r="R81" s="1114"/>
      <c r="S81" s="1114"/>
      <c r="T81" s="1114"/>
      <c r="U81" s="1114"/>
      <c r="V81" s="1114"/>
      <c r="W81" s="1114"/>
      <c r="X81" s="1114"/>
      <c r="Y81" s="1114"/>
      <c r="Z81" s="1114"/>
      <c r="AA81" s="1114"/>
      <c r="AB81" s="1114"/>
      <c r="AC81" s="1114"/>
      <c r="AD81" s="1114"/>
      <c r="AE81" s="1115"/>
      <c r="AF81" s="1113"/>
      <c r="AG81" s="1113"/>
      <c r="AH81" s="1113"/>
      <c r="AI81" s="1113"/>
      <c r="AJ81" s="1113"/>
      <c r="AK81" s="1113"/>
      <c r="AL81" s="1910"/>
      <c r="AM81" s="1748"/>
      <c r="AN81" s="1748"/>
      <c r="AO81" s="1748"/>
      <c r="AP81" s="1748"/>
      <c r="AQ81" s="1748"/>
      <c r="AR81" s="1748"/>
      <c r="AS81" s="1748"/>
      <c r="AT81" s="1748"/>
      <c r="AU81" s="1748"/>
      <c r="AV81" s="1748"/>
      <c r="AW81" s="1748"/>
      <c r="AX81" s="1748"/>
      <c r="AY81" s="1748"/>
      <c r="AZ81" s="1748"/>
      <c r="BA81" s="1748"/>
      <c r="BB81" s="1748"/>
      <c r="BC81" s="1748"/>
      <c r="BD81" s="1748"/>
      <c r="BE81" s="1748"/>
      <c r="BF81" s="1748"/>
    </row>
    <row r="82" spans="1:58" s="1562" customFormat="1" ht="0.75" customHeight="1">
      <c r="A82" s="1093"/>
      <c r="B82" s="1093"/>
      <c r="C82" s="1093"/>
      <c r="D82" s="1087"/>
      <c r="E82" s="1097"/>
      <c r="F82" s="3138"/>
      <c r="G82" s="3050"/>
      <c r="H82" s="3141" t="s">
        <v>421</v>
      </c>
      <c r="I82" s="3142"/>
      <c r="J82" s="3104"/>
      <c r="K82" s="3104"/>
      <c r="L82" s="3136"/>
      <c r="M82" s="2893"/>
      <c r="N82" s="1958"/>
      <c r="O82" s="1957"/>
      <c r="P82" s="1958"/>
      <c r="Q82" s="1958"/>
      <c r="R82" s="1958"/>
      <c r="S82" s="1958"/>
      <c r="T82" s="1958"/>
      <c r="U82" s="1958"/>
      <c r="V82" s="1958"/>
      <c r="W82" s="1958"/>
      <c r="X82" s="1958"/>
      <c r="Y82" s="1958"/>
      <c r="Z82" s="1958"/>
      <c r="AA82" s="1958"/>
      <c r="AB82" s="1958"/>
      <c r="AC82" s="1958"/>
      <c r="AD82" s="1958"/>
      <c r="AE82" s="1958"/>
      <c r="AF82" s="3140"/>
      <c r="AG82" s="3136"/>
      <c r="AH82" s="3136"/>
      <c r="AI82" s="3140"/>
      <c r="AJ82" s="3136"/>
      <c r="AK82" s="3136"/>
      <c r="AL82" s="1910"/>
      <c r="AM82" s="1748"/>
      <c r="AN82" s="1748"/>
      <c r="AO82" s="1748"/>
      <c r="AP82" s="1748"/>
      <c r="AQ82" s="1748"/>
      <c r="AR82" s="1748"/>
      <c r="AS82" s="1748"/>
      <c r="AT82" s="1748"/>
      <c r="AU82" s="1748"/>
      <c r="AV82" s="1748"/>
      <c r="AW82" s="1748"/>
      <c r="AX82" s="1748"/>
      <c r="AY82" s="1748"/>
      <c r="AZ82" s="1748"/>
      <c r="BA82" s="1748"/>
      <c r="BB82" s="1748"/>
      <c r="BC82" s="1748"/>
      <c r="BD82" s="1748"/>
      <c r="BE82" s="1748"/>
      <c r="BF82" s="1748"/>
    </row>
    <row r="83" spans="1:58" s="1562" customFormat="1" ht="0.75" customHeight="1">
      <c r="A83" s="1093"/>
      <c r="B83" s="1093"/>
      <c r="C83" s="1093"/>
      <c r="D83" s="1087"/>
      <c r="E83" s="1097"/>
      <c r="F83" s="3138"/>
      <c r="G83" s="3050"/>
      <c r="H83" s="3141"/>
      <c r="I83" s="3142"/>
      <c r="J83" s="3104"/>
      <c r="K83" s="3104"/>
      <c r="L83" s="3136"/>
      <c r="M83" s="2893"/>
      <c r="N83" s="3143"/>
      <c r="O83" s="3144"/>
      <c r="P83" s="3101"/>
      <c r="Q83" s="3104"/>
      <c r="R83" s="3104"/>
      <c r="S83" s="3104"/>
      <c r="T83" s="3104"/>
      <c r="U83" s="3104"/>
      <c r="V83" s="3104"/>
      <c r="W83" s="3104"/>
      <c r="X83" s="3104"/>
      <c r="Y83" s="3104"/>
      <c r="Z83" s="1959"/>
      <c r="AA83" s="1960"/>
      <c r="AB83" s="1960"/>
      <c r="AC83" s="1961"/>
      <c r="AD83" s="1961"/>
      <c r="AE83" s="1962"/>
      <c r="AF83" s="3140"/>
      <c r="AG83" s="3136"/>
      <c r="AH83" s="3136"/>
      <c r="AI83" s="3140"/>
      <c r="AJ83" s="3136"/>
      <c r="AK83" s="3136"/>
      <c r="AL83" s="1910"/>
      <c r="AM83" s="1748"/>
      <c r="AN83" s="1748"/>
      <c r="AO83" s="1748"/>
      <c r="AP83" s="1748"/>
      <c r="AQ83" s="1748"/>
      <c r="AR83" s="1748"/>
      <c r="AS83" s="1748"/>
      <c r="AT83" s="1748"/>
      <c r="AU83" s="1748"/>
      <c r="AV83" s="1748"/>
      <c r="AW83" s="1748"/>
      <c r="AX83" s="1748"/>
      <c r="AY83" s="1748"/>
      <c r="AZ83" s="1748"/>
      <c r="BA83" s="1748"/>
      <c r="BB83" s="1748"/>
      <c r="BC83" s="1748"/>
      <c r="BD83" s="1748"/>
      <c r="BE83" s="1748"/>
      <c r="BF83" s="1748"/>
    </row>
    <row r="84" spans="1:58" s="1562" customFormat="1" ht="0.75" customHeight="1">
      <c r="A84" s="1093"/>
      <c r="B84" s="1093"/>
      <c r="C84" s="1093"/>
      <c r="D84" s="1087"/>
      <c r="E84" s="1097"/>
      <c r="F84" s="3138"/>
      <c r="G84" s="3050"/>
      <c r="H84" s="3141"/>
      <c r="I84" s="3142"/>
      <c r="J84" s="3104"/>
      <c r="K84" s="3104"/>
      <c r="L84" s="3136"/>
      <c r="M84" s="2893"/>
      <c r="N84" s="3143"/>
      <c r="O84" s="3144"/>
      <c r="P84" s="3102"/>
      <c r="Q84" s="3104"/>
      <c r="R84" s="3104"/>
      <c r="S84" s="3104"/>
      <c r="T84" s="3104"/>
      <c r="U84" s="3104"/>
      <c r="V84" s="3104"/>
      <c r="W84" s="3104"/>
      <c r="X84" s="3104"/>
      <c r="Y84" s="3104"/>
      <c r="Z84" s="1963"/>
      <c r="AA84" s="1964"/>
      <c r="AB84" s="1965"/>
      <c r="AC84" s="1966"/>
      <c r="AD84" s="1965"/>
      <c r="AE84" s="1966"/>
      <c r="AF84" s="3140"/>
      <c r="AG84" s="3136"/>
      <c r="AH84" s="3136"/>
      <c r="AI84" s="3140"/>
      <c r="AJ84" s="3136"/>
      <c r="AK84" s="3136"/>
      <c r="AL84" s="1910"/>
      <c r="AM84" s="1748"/>
      <c r="AN84" s="1748"/>
      <c r="AO84" s="1748"/>
      <c r="AP84" s="1748"/>
      <c r="AQ84" s="1748"/>
      <c r="AR84" s="1748"/>
      <c r="AS84" s="1748"/>
      <c r="AT84" s="1748"/>
      <c r="AU84" s="1748"/>
      <c r="AV84" s="1748"/>
      <c r="AW84" s="1748"/>
      <c r="AX84" s="1748"/>
      <c r="AY84" s="1748"/>
      <c r="AZ84" s="1748"/>
      <c r="BA84" s="1748"/>
      <c r="BB84" s="1748"/>
      <c r="BC84" s="1748"/>
      <c r="BD84" s="1748"/>
      <c r="BE84" s="1748"/>
      <c r="BF84" s="1748"/>
    </row>
    <row r="85" spans="1:58" s="1562" customFormat="1" ht="0.75" customHeight="1">
      <c r="A85" s="1093"/>
      <c r="B85" s="1093"/>
      <c r="C85" s="1093"/>
      <c r="D85" s="1087"/>
      <c r="E85" s="1097"/>
      <c r="F85" s="3138"/>
      <c r="G85" s="3050"/>
      <c r="H85" s="3141"/>
      <c r="I85" s="3142"/>
      <c r="J85" s="3104"/>
      <c r="K85" s="3104"/>
      <c r="L85" s="3136"/>
      <c r="M85" s="2893"/>
      <c r="N85" s="3143"/>
      <c r="O85" s="3144"/>
      <c r="P85" s="3103"/>
      <c r="Q85" s="3104"/>
      <c r="R85" s="3104"/>
      <c r="S85" s="3104"/>
      <c r="T85" s="3104"/>
      <c r="U85" s="3104"/>
      <c r="V85" s="3104"/>
      <c r="W85" s="3104"/>
      <c r="X85" s="3104"/>
      <c r="Y85" s="3104"/>
      <c r="Z85" s="1959"/>
      <c r="AA85" s="1960"/>
      <c r="AB85" s="1967"/>
      <c r="AC85" s="1961"/>
      <c r="AD85" s="1961"/>
      <c r="AE85" s="1968"/>
      <c r="AF85" s="3140"/>
      <c r="AG85" s="3136"/>
      <c r="AH85" s="3136"/>
      <c r="AI85" s="3140"/>
      <c r="AJ85" s="3136"/>
      <c r="AK85" s="3136"/>
      <c r="AL85" s="1910"/>
      <c r="AM85" s="1748"/>
      <c r="AN85" s="1748"/>
      <c r="AO85" s="1748"/>
      <c r="AP85" s="1748"/>
      <c r="AQ85" s="1748"/>
      <c r="AR85" s="1748"/>
      <c r="AS85" s="1748"/>
      <c r="AT85" s="1748"/>
      <c r="AU85" s="1748"/>
      <c r="AV85" s="1748"/>
      <c r="AW85" s="1748"/>
      <c r="AX85" s="1748"/>
      <c r="AY85" s="1748"/>
      <c r="AZ85" s="1748"/>
      <c r="BA85" s="1748"/>
      <c r="BB85" s="1748"/>
      <c r="BC85" s="1748"/>
      <c r="BD85" s="1748"/>
      <c r="BE85" s="1748"/>
      <c r="BF85" s="1748"/>
    </row>
    <row r="86" spans="1:58" s="1562" customFormat="1" ht="0.75" customHeight="1">
      <c r="A86" s="1093"/>
      <c r="B86" s="1093"/>
      <c r="C86" s="1093"/>
      <c r="D86" s="1087"/>
      <c r="E86" s="1097"/>
      <c r="F86" s="3138"/>
      <c r="G86" s="3050"/>
      <c r="H86" s="3141"/>
      <c r="I86" s="3142"/>
      <c r="J86" s="3104"/>
      <c r="K86" s="3104"/>
      <c r="L86" s="3136"/>
      <c r="M86" s="2893"/>
      <c r="N86" s="1960"/>
      <c r="O86" s="1960"/>
      <c r="P86" s="1967"/>
      <c r="Q86" s="1960"/>
      <c r="R86" s="1960"/>
      <c r="S86" s="1960"/>
      <c r="T86" s="1960"/>
      <c r="U86" s="1960"/>
      <c r="V86" s="1960"/>
      <c r="W86" s="1960"/>
      <c r="X86" s="1960"/>
      <c r="Y86" s="1960"/>
      <c r="Z86" s="1960"/>
      <c r="AA86" s="1960"/>
      <c r="AB86" s="1960"/>
      <c r="AC86" s="1960"/>
      <c r="AD86" s="1960"/>
      <c r="AE86" s="1969"/>
      <c r="AF86" s="3140"/>
      <c r="AG86" s="3136"/>
      <c r="AH86" s="3136"/>
      <c r="AI86" s="3140"/>
      <c r="AJ86" s="3136"/>
      <c r="AK86" s="3136"/>
      <c r="AL86" s="1910"/>
      <c r="AM86" s="1748"/>
      <c r="AN86" s="1748"/>
      <c r="AO86" s="1748"/>
      <c r="AP86" s="1748"/>
      <c r="AQ86" s="1748"/>
      <c r="AR86" s="1748"/>
      <c r="AS86" s="1748"/>
      <c r="AT86" s="1748"/>
      <c r="AU86" s="1748"/>
      <c r="AV86" s="1748"/>
      <c r="AW86" s="1748"/>
      <c r="AX86" s="1748"/>
      <c r="AY86" s="1748"/>
      <c r="AZ86" s="1748"/>
      <c r="BA86" s="1748"/>
      <c r="BB86" s="1748"/>
      <c r="BC86" s="1748"/>
      <c r="BD86" s="1748"/>
      <c r="BE86" s="1748"/>
      <c r="BF86" s="1748"/>
    </row>
    <row r="87" spans="1:58" s="1562" customFormat="1" ht="12" customHeight="1">
      <c r="A87" s="1093"/>
      <c r="B87" s="1093"/>
      <c r="C87" s="1093"/>
      <c r="D87" s="1087"/>
      <c r="E87" s="1097"/>
      <c r="F87" s="3139"/>
      <c r="G87" s="1117"/>
      <c r="H87" s="1117"/>
      <c r="I87" s="3137" t="s">
        <v>1969</v>
      </c>
      <c r="J87" s="3137"/>
      <c r="K87" s="3137"/>
      <c r="L87" s="1100"/>
      <c r="M87" s="1100"/>
      <c r="N87" s="1101"/>
      <c r="O87" s="1101"/>
      <c r="P87" s="1101"/>
      <c r="Q87" s="1101"/>
      <c r="R87" s="1101"/>
      <c r="S87" s="1101"/>
      <c r="T87" s="1101"/>
      <c r="U87" s="1101"/>
      <c r="V87" s="1101"/>
      <c r="W87" s="1101"/>
      <c r="X87" s="1101"/>
      <c r="Y87" s="1101"/>
      <c r="Z87" s="1101"/>
      <c r="AA87" s="1101"/>
      <c r="AB87" s="1101"/>
      <c r="AC87" s="1101"/>
      <c r="AD87" s="1101"/>
      <c r="AE87" s="1101"/>
      <c r="AF87" s="1101"/>
      <c r="AG87" s="1100"/>
      <c r="AH87" s="1100"/>
      <c r="AI87" s="1101"/>
      <c r="AJ87" s="1100"/>
      <c r="AK87" s="1101"/>
      <c r="AL87" s="1910"/>
      <c r="AM87" s="1748"/>
      <c r="AN87" s="1748"/>
      <c r="AO87" s="1748"/>
      <c r="AP87" s="1748"/>
      <c r="AQ87" s="1748"/>
      <c r="AR87" s="1748"/>
      <c r="AS87" s="1748"/>
      <c r="AT87" s="1748"/>
      <c r="AU87" s="1748"/>
      <c r="AV87" s="1748"/>
      <c r="AW87" s="1748"/>
      <c r="AX87" s="1748"/>
      <c r="AY87" s="1748"/>
      <c r="AZ87" s="1748"/>
      <c r="BA87" s="1748"/>
      <c r="BB87" s="1748"/>
      <c r="BC87" s="1748"/>
      <c r="BD87" s="1748"/>
      <c r="BE87" s="1748"/>
      <c r="BF87" s="1748"/>
    </row>
    <row r="89" spans="1:58" s="1741" customFormat="1" ht="11.25" customHeight="1">
      <c r="A89" s="1741" t="s">
        <v>1970</v>
      </c>
    </row>
    <row r="91" spans="1:58" s="1562" customFormat="1" ht="11.25" customHeight="1">
      <c r="A91" s="1093"/>
      <c r="B91" s="1093"/>
      <c r="C91" s="1093"/>
      <c r="D91" s="1087"/>
      <c r="E91" s="1097"/>
      <c r="F91" s="1754"/>
      <c r="G91" s="1755"/>
      <c r="H91" s="1755"/>
      <c r="I91" s="1690"/>
      <c r="J91" s="1690"/>
      <c r="K91" s="1756"/>
      <c r="L91" s="1690"/>
      <c r="M91" s="1755"/>
      <c r="N91" s="3105"/>
      <c r="O91" s="3106">
        <v>1</v>
      </c>
      <c r="P91" s="3107" t="s">
        <v>19</v>
      </c>
      <c r="Q91" s="3014" t="s">
        <v>30</v>
      </c>
      <c r="R91" s="3014" t="s">
        <v>30</v>
      </c>
      <c r="S91" s="3014" t="s">
        <v>30</v>
      </c>
      <c r="T91" s="3014" t="s">
        <v>30</v>
      </c>
      <c r="U91" s="3014" t="s">
        <v>30</v>
      </c>
      <c r="V91" s="3014" t="s">
        <v>30</v>
      </c>
      <c r="W91" s="3014" t="s">
        <v>30</v>
      </c>
      <c r="X91" s="3014" t="s">
        <v>30</v>
      </c>
      <c r="Y91" s="3014"/>
      <c r="Z91" s="1102"/>
      <c r="AA91" s="1103"/>
      <c r="AB91" s="1103"/>
      <c r="AC91" s="1107"/>
      <c r="AD91" s="1107"/>
      <c r="AE91" s="1107"/>
      <c r="AF91" s="1757"/>
      <c r="AG91" s="1685"/>
      <c r="AH91" s="1685"/>
      <c r="AI91" s="1757"/>
      <c r="AJ91" s="1685"/>
      <c r="AK91" s="1909"/>
      <c r="AL91" s="1910"/>
      <c r="AM91" s="1748"/>
      <c r="AN91" s="1748"/>
      <c r="AO91" s="1748"/>
      <c r="AP91" s="1748"/>
      <c r="AQ91" s="1748"/>
      <c r="AR91" s="1748"/>
      <c r="AS91" s="1748"/>
      <c r="AT91" s="1748"/>
      <c r="AU91" s="1748"/>
      <c r="AV91" s="1748"/>
      <c r="AW91" s="1748"/>
      <c r="AX91" s="1748"/>
      <c r="AY91" s="1748"/>
      <c r="AZ91" s="1748"/>
      <c r="BA91" s="1748"/>
      <c r="BB91" s="1748"/>
      <c r="BC91" s="1748"/>
      <c r="BD91" s="1748"/>
      <c r="BE91" s="1748"/>
      <c r="BF91" s="1748"/>
    </row>
    <row r="92" spans="1:58" s="1562" customFormat="1" ht="11.25" customHeight="1">
      <c r="A92" s="1093"/>
      <c r="B92" s="1093"/>
      <c r="C92" s="1093"/>
      <c r="D92" s="1087"/>
      <c r="E92" s="1097"/>
      <c r="F92" s="1754"/>
      <c r="G92" s="1755"/>
      <c r="H92" s="1755"/>
      <c r="I92" s="1691"/>
      <c r="J92" s="1691"/>
      <c r="K92" s="1756"/>
      <c r="L92" s="1691"/>
      <c r="M92" s="1755"/>
      <c r="N92" s="3105"/>
      <c r="O92" s="3106"/>
      <c r="P92" s="3108"/>
      <c r="Q92" s="3014"/>
      <c r="R92" s="3014"/>
      <c r="S92" s="3110"/>
      <c r="T92" s="3014"/>
      <c r="U92" s="3014"/>
      <c r="V92" s="3014"/>
      <c r="W92" s="3014"/>
      <c r="X92" s="3014"/>
      <c r="Y92" s="3014"/>
      <c r="Z92" s="1753"/>
      <c r="AA92" s="1720">
        <v>1</v>
      </c>
      <c r="AB92" s="1106"/>
      <c r="AC92" s="1096"/>
      <c r="AD92" s="1106">
        <f>AB92</f>
        <v>0</v>
      </c>
      <c r="AE92" s="661"/>
      <c r="AF92" s="1756"/>
      <c r="AG92" s="1685"/>
      <c r="AH92" s="1685"/>
      <c r="AI92" s="1756"/>
      <c r="AJ92" s="1685"/>
      <c r="AK92" s="1909"/>
      <c r="AL92" s="1910"/>
      <c r="AM92" s="1748"/>
      <c r="AN92" s="1748"/>
      <c r="AO92" s="1748"/>
      <c r="AP92" s="1748"/>
      <c r="AQ92" s="1748"/>
      <c r="AR92" s="1748"/>
      <c r="AS92" s="1748"/>
      <c r="AT92" s="1748"/>
      <c r="AU92" s="1748"/>
      <c r="AV92" s="1748"/>
      <c r="AW92" s="1748"/>
      <c r="AX92" s="1748"/>
      <c r="AY92" s="1748"/>
      <c r="AZ92" s="1748"/>
      <c r="BA92" s="1748"/>
      <c r="BB92" s="1748"/>
      <c r="BC92" s="1748"/>
      <c r="BD92" s="1748"/>
      <c r="BE92" s="1748"/>
      <c r="BF92" s="1748"/>
    </row>
    <row r="93" spans="1:58" s="1562" customFormat="1" ht="11.25" customHeight="1">
      <c r="A93" s="1093"/>
      <c r="B93" s="1093"/>
      <c r="C93" s="1093"/>
      <c r="D93" s="1087"/>
      <c r="E93" s="1097"/>
      <c r="F93" s="1754"/>
      <c r="G93" s="1755"/>
      <c r="H93" s="1755"/>
      <c r="I93" s="1692"/>
      <c r="J93" s="1692"/>
      <c r="K93" s="1756"/>
      <c r="L93" s="1692"/>
      <c r="M93" s="1755"/>
      <c r="N93" s="3105"/>
      <c r="O93" s="3106"/>
      <c r="P93" s="3109"/>
      <c r="Q93" s="3014"/>
      <c r="R93" s="3014"/>
      <c r="S93" s="3110"/>
      <c r="T93" s="3014"/>
      <c r="U93" s="3014"/>
      <c r="V93" s="3014"/>
      <c r="W93" s="3014"/>
      <c r="X93" s="3014"/>
      <c r="Y93" s="3014"/>
      <c r="Z93" s="1102"/>
      <c r="AA93" s="1103"/>
      <c r="AB93" s="1168" t="s">
        <v>1971</v>
      </c>
      <c r="AC93" s="1107"/>
      <c r="AD93" s="1107"/>
      <c r="AE93" s="1107"/>
      <c r="AF93" s="1758"/>
      <c r="AG93" s="1685"/>
      <c r="AH93" s="1685"/>
      <c r="AI93" s="1758"/>
      <c r="AJ93" s="1685"/>
      <c r="AK93" s="1909"/>
      <c r="AL93" s="1910"/>
      <c r="AM93" s="1748"/>
      <c r="AN93" s="1748"/>
      <c r="AO93" s="1748"/>
      <c r="AP93" s="1748"/>
      <c r="AQ93" s="1748"/>
      <c r="AR93" s="1748"/>
      <c r="AS93" s="1748"/>
      <c r="AT93" s="1748"/>
      <c r="AU93" s="1748"/>
      <c r="AV93" s="1748"/>
      <c r="AW93" s="1748"/>
      <c r="AX93" s="1748"/>
      <c r="AY93" s="1748"/>
      <c r="AZ93" s="1748"/>
      <c r="BA93" s="1748"/>
      <c r="BB93" s="1748"/>
      <c r="BC93" s="1748"/>
      <c r="BD93" s="1748"/>
      <c r="BE93" s="1748"/>
      <c r="BF93" s="1748"/>
    </row>
    <row r="95" spans="1:58" s="1741" customFormat="1" ht="11.25" customHeight="1">
      <c r="A95" s="1741" t="s">
        <v>1972</v>
      </c>
    </row>
    <row r="97" spans="1:184" s="1562" customFormat="1" ht="11.25" customHeight="1">
      <c r="A97" s="1093"/>
      <c r="B97" s="1093"/>
      <c r="C97" s="1093"/>
      <c r="D97" s="1087"/>
      <c r="E97" s="1097"/>
      <c r="F97" s="1755"/>
      <c r="G97" s="1755"/>
      <c r="H97" s="1755"/>
      <c r="I97" s="1755"/>
      <c r="J97" s="1755"/>
      <c r="K97" s="1755"/>
      <c r="L97" s="1755"/>
      <c r="M97" s="1755"/>
      <c r="N97" s="1755"/>
      <c r="O97" s="1755"/>
      <c r="P97" s="1755"/>
      <c r="Q97" s="1755"/>
      <c r="R97" s="1755"/>
      <c r="S97" s="1755"/>
      <c r="T97" s="1755"/>
      <c r="U97" s="1755"/>
      <c r="V97" s="1755"/>
      <c r="W97" s="1755"/>
      <c r="X97" s="1755"/>
      <c r="Y97" s="1755"/>
      <c r="Z97" s="1759"/>
      <c r="AA97" s="1740">
        <v>1</v>
      </c>
      <c r="AB97" s="1106"/>
      <c r="AC97" s="1096"/>
      <c r="AD97" s="1106">
        <f>AB97</f>
        <v>0</v>
      </c>
      <c r="AE97" s="1096"/>
      <c r="AF97" s="1756"/>
      <c r="AG97" s="1685"/>
      <c r="AH97" s="1685"/>
      <c r="AI97" s="1756"/>
      <c r="AJ97" s="1685"/>
      <c r="AK97" s="1909"/>
      <c r="AL97" s="1910"/>
      <c r="AM97" s="1748"/>
      <c r="AN97" s="1748"/>
      <c r="AO97" s="1748"/>
      <c r="AP97" s="1748"/>
      <c r="AQ97" s="1748"/>
      <c r="AR97" s="1748"/>
      <c r="AS97" s="1748"/>
      <c r="AT97" s="1748"/>
      <c r="AU97" s="1748"/>
      <c r="AV97" s="1748"/>
      <c r="AW97" s="1748"/>
      <c r="AX97" s="1748"/>
      <c r="AY97" s="1748"/>
      <c r="AZ97" s="1748"/>
      <c r="BA97" s="1748"/>
      <c r="BB97" s="1748"/>
      <c r="BC97" s="1748"/>
      <c r="BD97" s="1748"/>
      <c r="BE97" s="1748"/>
      <c r="BF97" s="1748"/>
    </row>
    <row r="99" spans="1:184" s="1741" customFormat="1" ht="11.25" customHeight="1">
      <c r="A99" s="1741" t="s">
        <v>1973</v>
      </c>
    </row>
    <row r="101" spans="1:184" s="1562" customFormat="1" ht="11.25" customHeight="1">
      <c r="A101" s="1093"/>
      <c r="B101" s="1093"/>
      <c r="C101" s="1093"/>
      <c r="D101" s="1087"/>
      <c r="E101" s="1097"/>
      <c r="F101" s="1754"/>
      <c r="G101" s="1755"/>
      <c r="H101" s="3050" t="s">
        <v>114</v>
      </c>
      <c r="I101" s="3157"/>
      <c r="J101" s="3085"/>
      <c r="K101" s="3155"/>
      <c r="L101" s="2768" t="s">
        <v>19</v>
      </c>
      <c r="M101" s="2769"/>
      <c r="N101" s="1908"/>
      <c r="O101" s="1104" t="s">
        <v>421</v>
      </c>
      <c r="P101" s="1105"/>
      <c r="Q101" s="1105"/>
      <c r="R101" s="1105"/>
      <c r="S101" s="1105"/>
      <c r="T101" s="1105"/>
      <c r="U101" s="1105"/>
      <c r="V101" s="1105"/>
      <c r="W101" s="1105"/>
      <c r="X101" s="1105"/>
      <c r="Y101" s="1105"/>
      <c r="Z101" s="1105"/>
      <c r="AA101" s="1105"/>
      <c r="AB101" s="1105"/>
      <c r="AC101" s="1105"/>
      <c r="AD101" s="1105"/>
      <c r="AE101" s="1105"/>
      <c r="AF101" s="3158"/>
      <c r="AG101" s="3159"/>
      <c r="AH101" s="3159"/>
      <c r="AI101" s="3158"/>
      <c r="AJ101" s="3159"/>
      <c r="AK101" s="3159"/>
      <c r="AL101" s="1910"/>
      <c r="AM101" s="1748"/>
      <c r="AN101" s="1748"/>
      <c r="AO101" s="1748"/>
      <c r="AP101" s="1748"/>
      <c r="AQ101" s="1748"/>
      <c r="AR101" s="1748"/>
      <c r="AS101" s="1748"/>
      <c r="AT101" s="1748"/>
      <c r="AU101" s="1748"/>
      <c r="AV101" s="1748"/>
      <c r="AW101" s="1748"/>
      <c r="AX101" s="1748"/>
      <c r="AY101" s="1748"/>
      <c r="AZ101" s="1748"/>
      <c r="BA101" s="1748"/>
      <c r="BB101" s="1748"/>
      <c r="BC101" s="1748"/>
      <c r="BD101" s="1748"/>
      <c r="BE101" s="1748"/>
      <c r="BF101" s="1748"/>
    </row>
    <row r="102" spans="1:184" s="1562" customFormat="1" ht="11.25" customHeight="1">
      <c r="A102" s="1093"/>
      <c r="B102" s="1093"/>
      <c r="C102" s="1093"/>
      <c r="D102" s="1087"/>
      <c r="E102" s="1097"/>
      <c r="F102" s="1754"/>
      <c r="G102" s="1755"/>
      <c r="H102" s="3050"/>
      <c r="I102" s="3157"/>
      <c r="J102" s="3085"/>
      <c r="K102" s="3155"/>
      <c r="L102" s="2768"/>
      <c r="M102" s="2769"/>
      <c r="N102" s="3105"/>
      <c r="O102" s="3160">
        <v>1</v>
      </c>
      <c r="P102" s="3107" t="s">
        <v>19</v>
      </c>
      <c r="Q102" s="3014" t="s">
        <v>30</v>
      </c>
      <c r="R102" s="3014" t="s">
        <v>30</v>
      </c>
      <c r="S102" s="3014" t="s">
        <v>30</v>
      </c>
      <c r="T102" s="3014" t="s">
        <v>30</v>
      </c>
      <c r="U102" s="3014" t="s">
        <v>30</v>
      </c>
      <c r="V102" s="3014" t="s">
        <v>30</v>
      </c>
      <c r="W102" s="3014" t="s">
        <v>30</v>
      </c>
      <c r="X102" s="3014" t="s">
        <v>30</v>
      </c>
      <c r="Y102" s="3014"/>
      <c r="Z102" s="1102"/>
      <c r="AA102" s="1103"/>
      <c r="AB102" s="1103"/>
      <c r="AC102" s="1107"/>
      <c r="AD102" s="1107"/>
      <c r="AE102" s="1108"/>
      <c r="AF102" s="3158"/>
      <c r="AG102" s="3159"/>
      <c r="AH102" s="3159"/>
      <c r="AI102" s="3158"/>
      <c r="AJ102" s="3159"/>
      <c r="AK102" s="3159"/>
      <c r="AL102" s="1910"/>
      <c r="AM102" s="1748"/>
      <c r="AN102" s="1748"/>
      <c r="AO102" s="1748"/>
      <c r="AP102" s="1748"/>
      <c r="AQ102" s="1748"/>
      <c r="AR102" s="1748"/>
      <c r="AS102" s="1748"/>
      <c r="AT102" s="1748"/>
      <c r="AU102" s="1748"/>
      <c r="AV102" s="1748"/>
      <c r="AW102" s="1748"/>
      <c r="AX102" s="1748"/>
      <c r="AY102" s="1748"/>
      <c r="AZ102" s="1748"/>
      <c r="BA102" s="1748"/>
      <c r="BB102" s="1748"/>
      <c r="BC102" s="1748"/>
      <c r="BD102" s="1748"/>
      <c r="BE102" s="1748"/>
      <c r="BF102" s="1748"/>
    </row>
    <row r="103" spans="1:184" s="1562" customFormat="1" ht="11.25" customHeight="1">
      <c r="A103" s="1093"/>
      <c r="B103" s="1093"/>
      <c r="C103" s="1093"/>
      <c r="D103" s="1087"/>
      <c r="E103" s="1097"/>
      <c r="F103" s="1754"/>
      <c r="G103" s="1755"/>
      <c r="H103" s="3050"/>
      <c r="I103" s="3157"/>
      <c r="J103" s="3085"/>
      <c r="K103" s="3155"/>
      <c r="L103" s="2768"/>
      <c r="M103" s="2769"/>
      <c r="N103" s="3105"/>
      <c r="O103" s="3160"/>
      <c r="P103" s="3108"/>
      <c r="Q103" s="3014"/>
      <c r="R103" s="3014"/>
      <c r="S103" s="3110"/>
      <c r="T103" s="3014"/>
      <c r="U103" s="3014"/>
      <c r="V103" s="3014"/>
      <c r="W103" s="3014"/>
      <c r="X103" s="3014"/>
      <c r="Y103" s="3014"/>
      <c r="Z103" s="1753"/>
      <c r="AA103" s="1720">
        <v>1</v>
      </c>
      <c r="AB103" s="1106"/>
      <c r="AC103" s="1096"/>
      <c r="AD103" s="1106">
        <f>AB103</f>
        <v>0</v>
      </c>
      <c r="AE103" s="1096"/>
      <c r="AF103" s="3158"/>
      <c r="AG103" s="3159"/>
      <c r="AH103" s="3159"/>
      <c r="AI103" s="3158"/>
      <c r="AJ103" s="3159"/>
      <c r="AK103" s="3159"/>
      <c r="AL103" s="1910"/>
      <c r="AM103" s="1748"/>
      <c r="AN103" s="1748"/>
      <c r="AO103" s="1748"/>
      <c r="AP103" s="1748"/>
      <c r="AQ103" s="1748"/>
      <c r="AR103" s="1748"/>
      <c r="AS103" s="1748"/>
      <c r="AT103" s="1748"/>
      <c r="AU103" s="1748"/>
      <c r="AV103" s="1748"/>
      <c r="AW103" s="1748"/>
      <c r="AX103" s="1748"/>
      <c r="AY103" s="1748"/>
      <c r="AZ103" s="1748"/>
      <c r="BA103" s="1748"/>
      <c r="BB103" s="1748"/>
      <c r="BC103" s="1748"/>
      <c r="BD103" s="1748"/>
      <c r="BE103" s="1748"/>
      <c r="BF103" s="1748"/>
    </row>
    <row r="104" spans="1:184" s="1562" customFormat="1" ht="11.25" customHeight="1">
      <c r="A104" s="1093"/>
      <c r="B104" s="1093"/>
      <c r="C104" s="1093"/>
      <c r="D104" s="1087"/>
      <c r="E104" s="1097"/>
      <c r="F104" s="1754"/>
      <c r="G104" s="1755"/>
      <c r="H104" s="3050"/>
      <c r="I104" s="3157"/>
      <c r="J104" s="3085"/>
      <c r="K104" s="3155"/>
      <c r="L104" s="2768"/>
      <c r="M104" s="2769"/>
      <c r="N104" s="3105"/>
      <c r="O104" s="3160"/>
      <c r="P104" s="3109"/>
      <c r="Q104" s="3014"/>
      <c r="R104" s="3014"/>
      <c r="S104" s="3110"/>
      <c r="T104" s="3014"/>
      <c r="U104" s="3014"/>
      <c r="V104" s="3014"/>
      <c r="W104" s="3014"/>
      <c r="X104" s="3014"/>
      <c r="Y104" s="3014"/>
      <c r="Z104" s="1102"/>
      <c r="AA104" s="1103"/>
      <c r="AB104" s="1168" t="s">
        <v>1971</v>
      </c>
      <c r="AC104" s="1107"/>
      <c r="AD104" s="1107"/>
      <c r="AE104" s="1109"/>
      <c r="AF104" s="3158"/>
      <c r="AG104" s="3159"/>
      <c r="AH104" s="3159"/>
      <c r="AI104" s="3158"/>
      <c r="AJ104" s="3159"/>
      <c r="AK104" s="3159"/>
      <c r="AL104" s="1910"/>
      <c r="AM104" s="1748"/>
      <c r="AN104" s="1748"/>
      <c r="AO104" s="1748"/>
      <c r="AP104" s="1748"/>
      <c r="AQ104" s="1748"/>
      <c r="AR104" s="1748"/>
      <c r="AS104" s="1748"/>
      <c r="AT104" s="1748"/>
      <c r="AU104" s="1748"/>
      <c r="AV104" s="1748"/>
      <c r="AW104" s="1748"/>
      <c r="AX104" s="1748"/>
      <c r="AY104" s="1748"/>
      <c r="AZ104" s="1748"/>
      <c r="BA104" s="1748"/>
      <c r="BB104" s="1748"/>
      <c r="BC104" s="1748"/>
      <c r="BD104" s="1748"/>
      <c r="BE104" s="1748"/>
      <c r="BF104" s="1748"/>
    </row>
    <row r="105" spans="1:184" s="1562" customFormat="1" ht="11.25" customHeight="1">
      <c r="A105" s="1093"/>
      <c r="B105" s="1093"/>
      <c r="C105" s="1093"/>
      <c r="D105" s="1087"/>
      <c r="E105" s="1097"/>
      <c r="F105" s="1754"/>
      <c r="G105" s="1755"/>
      <c r="H105" s="3050"/>
      <c r="I105" s="3157"/>
      <c r="J105" s="3085"/>
      <c r="K105" s="3155"/>
      <c r="L105" s="2768"/>
      <c r="M105" s="2769"/>
      <c r="N105" s="1102"/>
      <c r="O105" s="1103"/>
      <c r="P105" s="1095" t="s">
        <v>1974</v>
      </c>
      <c r="Q105" s="1103"/>
      <c r="R105" s="1103"/>
      <c r="S105" s="1103"/>
      <c r="T105" s="1103"/>
      <c r="U105" s="1103"/>
      <c r="V105" s="1103"/>
      <c r="W105" s="1103"/>
      <c r="X105" s="1103"/>
      <c r="Y105" s="1103"/>
      <c r="Z105" s="1103"/>
      <c r="AA105" s="1103"/>
      <c r="AB105" s="1103"/>
      <c r="AC105" s="1103"/>
      <c r="AD105" s="1103"/>
      <c r="AE105" s="1110"/>
      <c r="AF105" s="3158"/>
      <c r="AG105" s="3159"/>
      <c r="AH105" s="3159"/>
      <c r="AI105" s="3158"/>
      <c r="AJ105" s="3159"/>
      <c r="AK105" s="3159"/>
      <c r="AL105" s="1910"/>
      <c r="AM105" s="1748"/>
      <c r="AN105" s="1748"/>
      <c r="AO105" s="1748"/>
      <c r="AP105" s="1748"/>
      <c r="AQ105" s="1748"/>
      <c r="AR105" s="1748"/>
      <c r="AS105" s="1748"/>
      <c r="AT105" s="1748"/>
      <c r="AU105" s="1748"/>
      <c r="AV105" s="1748"/>
      <c r="AW105" s="1748"/>
      <c r="AX105" s="1748"/>
      <c r="AY105" s="1748"/>
      <c r="AZ105" s="1748"/>
      <c r="BA105" s="1748"/>
      <c r="BB105" s="1748"/>
      <c r="BC105" s="1748"/>
      <c r="BD105" s="1748"/>
      <c r="BE105" s="1748"/>
      <c r="BF105" s="1748"/>
    </row>
    <row r="107" spans="1:184" s="1741" customFormat="1" ht="11.25" customHeight="1">
      <c r="A107" s="1741" t="s">
        <v>1975</v>
      </c>
    </row>
    <row r="108" spans="1:184" ht="17.25" customHeight="1"/>
    <row r="109" spans="1:184" s="855" customFormat="1" ht="21" customHeight="1">
      <c r="A109" s="1094"/>
      <c r="B109" s="870"/>
      <c r="D109" s="854"/>
      <c r="E109" s="869" t="s">
        <v>30</v>
      </c>
      <c r="F109" s="1048" t="e">
        <f>INDEX(IP_MAIN_LIST_NAME_IP,MATCH(A109,IP_MAIN_LIST_IP_ID,0))&amp;" ("&amp;INDEX(IP_MAIN_START_DATE,MATCH(A109,IP_MAIN_LIST_IP_ID,0))&amp;"-"&amp;INDEX(IP_MAIN_END_DATE,MATCH(A109,IP_MAIN_LIST_IP_ID,0))&amp;")"</f>
        <v>#N/A</v>
      </c>
      <c r="G109" s="1130"/>
      <c r="H109" s="1131"/>
      <c r="I109" s="1131"/>
      <c r="J109" s="1131"/>
      <c r="K109" s="1131"/>
      <c r="L109" s="1131"/>
      <c r="M109" s="1131"/>
      <c r="N109" s="1131"/>
      <c r="O109" s="1130"/>
      <c r="P109" s="1130"/>
      <c r="Q109" s="1130"/>
      <c r="R109" s="1130"/>
      <c r="S109" s="1130"/>
      <c r="T109" s="1130"/>
      <c r="U109" s="1132"/>
      <c r="V109" s="1132"/>
      <c r="W109" s="1132"/>
      <c r="X109" s="1132"/>
      <c r="Y109" s="1132"/>
      <c r="Z109" s="1132"/>
      <c r="AA109" s="1132"/>
      <c r="AB109" s="1130"/>
      <c r="AC109" s="1131"/>
      <c r="AD109" s="1131"/>
      <c r="AE109" s="1131"/>
      <c r="AF109" s="1131"/>
      <c r="AG109" s="1131"/>
      <c r="AH109" s="1131"/>
      <c r="AI109" s="1131"/>
      <c r="AJ109" s="1131"/>
      <c r="AK109" s="1131"/>
      <c r="AL109" s="1131"/>
      <c r="AM109" s="1131"/>
      <c r="AN109" s="1131"/>
      <c r="AO109" s="1131"/>
      <c r="AP109" s="1131"/>
      <c r="AQ109" s="1131"/>
      <c r="AR109" s="1131"/>
      <c r="AS109" s="1131"/>
      <c r="AT109" s="1131"/>
      <c r="AU109" s="1131"/>
      <c r="AV109" s="1131"/>
      <c r="AW109" s="1131"/>
      <c r="AX109" s="1131"/>
      <c r="AY109" s="1131"/>
      <c r="AZ109" s="1131"/>
      <c r="BA109" s="1131"/>
      <c r="BB109" s="1131"/>
      <c r="BC109" s="1131"/>
      <c r="BD109" s="1131"/>
      <c r="BE109" s="1131"/>
      <c r="BF109" s="1131"/>
      <c r="BG109" s="1131"/>
      <c r="BH109" s="1131"/>
      <c r="BI109" s="1131"/>
      <c r="BJ109" s="1131"/>
      <c r="BK109" s="1131"/>
      <c r="BL109" s="1131"/>
      <c r="BM109" s="1131"/>
      <c r="BN109" s="1131"/>
      <c r="BO109" s="1131"/>
      <c r="BP109" s="1131"/>
      <c r="BQ109" s="1131"/>
      <c r="BR109" s="1131"/>
      <c r="BS109" s="1131"/>
      <c r="BT109" s="1131"/>
      <c r="BU109" s="1131"/>
      <c r="BV109" s="1131"/>
      <c r="BW109" s="1131"/>
      <c r="BX109" s="1131"/>
      <c r="BY109" s="1131"/>
      <c r="BZ109" s="1131"/>
      <c r="CA109" s="1131"/>
      <c r="CB109" s="1131"/>
      <c r="CC109" s="1131"/>
      <c r="CD109" s="1131"/>
      <c r="CE109" s="1131"/>
      <c r="CF109" s="1131"/>
      <c r="CG109" s="1131"/>
      <c r="CH109" s="1131"/>
      <c r="CI109" s="1131"/>
      <c r="CJ109" s="1131"/>
      <c r="CK109" s="1131"/>
      <c r="CL109" s="1133"/>
      <c r="CM109" s="1133"/>
      <c r="CN109" s="1133"/>
      <c r="CO109" s="1133"/>
      <c r="CP109" s="1133"/>
      <c r="CQ109" s="1133"/>
      <c r="CR109" s="1133"/>
      <c r="CS109" s="1133"/>
      <c r="CT109" s="1133"/>
      <c r="CU109" s="1133"/>
      <c r="CV109" s="1133"/>
      <c r="CW109" s="1133"/>
      <c r="CX109" s="1133"/>
      <c r="CY109" s="1133"/>
      <c r="CZ109" s="1133"/>
      <c r="DA109" s="1133"/>
      <c r="DB109" s="1133"/>
      <c r="DC109" s="1133"/>
      <c r="DD109" s="1133"/>
      <c r="DE109" s="1133"/>
      <c r="DF109" s="1133"/>
      <c r="DG109" s="1133"/>
      <c r="DH109" s="1133"/>
      <c r="DI109" s="1133"/>
      <c r="DJ109" s="1133"/>
      <c r="DK109" s="1133"/>
      <c r="DL109" s="1133"/>
      <c r="DM109" s="1133"/>
      <c r="DN109" s="1133"/>
      <c r="DO109" s="1133"/>
      <c r="DP109" s="1133"/>
      <c r="DQ109" s="1133"/>
      <c r="DR109" s="1133"/>
      <c r="DS109" s="1133"/>
      <c r="DT109" s="1133"/>
      <c r="DU109" s="1133"/>
      <c r="DV109" s="1133"/>
      <c r="DW109" s="1133"/>
      <c r="DX109" s="1133"/>
      <c r="DY109" s="1133"/>
      <c r="DZ109" s="1133"/>
      <c r="EA109" s="1133"/>
      <c r="EB109" s="1133"/>
      <c r="EC109" s="1133"/>
      <c r="ED109" s="1133"/>
      <c r="EE109" s="1133"/>
      <c r="EF109" s="1133"/>
      <c r="EG109" s="1133"/>
      <c r="EH109" s="1133"/>
      <c r="EI109" s="1133"/>
      <c r="EJ109" s="1133"/>
      <c r="EK109" s="1133"/>
      <c r="EL109" s="1133"/>
      <c r="EM109" s="1133"/>
      <c r="EN109" s="1133"/>
      <c r="EO109" s="1133"/>
      <c r="EP109" s="1133"/>
      <c r="EQ109" s="1133"/>
      <c r="ER109" s="1133"/>
      <c r="ES109" s="1133"/>
      <c r="ET109" s="1133"/>
      <c r="EU109" s="1133"/>
      <c r="EV109" s="1133"/>
      <c r="EW109" s="1133"/>
      <c r="EX109" s="1133"/>
      <c r="EY109" s="1133"/>
      <c r="EZ109" s="1133"/>
      <c r="FA109" s="1133"/>
      <c r="FB109" s="1133"/>
      <c r="FC109" s="1133"/>
      <c r="FD109" s="1133"/>
      <c r="FE109" s="1133"/>
      <c r="FF109" s="1133"/>
      <c r="FG109" s="1133"/>
      <c r="FH109" s="1133"/>
      <c r="FI109" s="1133"/>
      <c r="FJ109" s="1133"/>
      <c r="FK109" s="1133"/>
      <c r="FL109" s="1133"/>
      <c r="FM109" s="1133"/>
      <c r="FN109" s="1133"/>
      <c r="FO109" s="1133"/>
      <c r="FP109" s="1133"/>
      <c r="FQ109" s="1133"/>
      <c r="FR109" s="1133"/>
      <c r="FS109" s="1133"/>
      <c r="FT109" s="1133"/>
      <c r="FU109" s="1133"/>
      <c r="FV109" s="1134"/>
      <c r="FW109" s="1128"/>
      <c r="FX109" s="1129"/>
    </row>
    <row r="110" spans="1:184" s="855" customFormat="1" ht="24.75" customHeight="1">
      <c r="B110" s="853"/>
      <c r="C110" s="854"/>
      <c r="D110" s="854"/>
      <c r="E110" s="1760"/>
      <c r="F110" s="1135">
        <v>1</v>
      </c>
      <c r="G110" s="1136"/>
      <c r="H110" s="1137"/>
      <c r="I110" s="1904"/>
      <c r="J110" s="1138"/>
      <c r="K110" s="1138"/>
      <c r="L110" s="1138"/>
      <c r="M110" s="1138"/>
      <c r="N110" s="1138"/>
      <c r="O110" s="1139"/>
      <c r="P110" s="1139"/>
      <c r="Q110" s="1139"/>
      <c r="R110" s="1139"/>
      <c r="S110" s="1139"/>
      <c r="T110" s="1139"/>
      <c r="U110" s="1139"/>
      <c r="V110" s="1139"/>
      <c r="W110" s="1139"/>
      <c r="X110" s="1139"/>
      <c r="Y110" s="1139"/>
      <c r="Z110" s="1139"/>
      <c r="AA110" s="1139"/>
      <c r="AB110" s="1139"/>
      <c r="AC110" s="1138"/>
      <c r="AD110" s="1138"/>
      <c r="AE110" s="1138"/>
      <c r="AF110" s="1138"/>
      <c r="AG110" s="1138"/>
      <c r="AH110" s="1138"/>
      <c r="AI110" s="1138"/>
      <c r="AJ110" s="1138"/>
      <c r="AK110" s="1138"/>
      <c r="AL110" s="1138"/>
      <c r="AM110" s="1138"/>
      <c r="AN110" s="1138"/>
      <c r="AO110" s="1138"/>
      <c r="AP110" s="1138"/>
      <c r="AQ110" s="1138"/>
      <c r="AR110" s="1138"/>
      <c r="AS110" s="1138"/>
      <c r="AT110" s="1138"/>
      <c r="AU110" s="1138"/>
      <c r="AV110" s="1138"/>
      <c r="AW110" s="1138"/>
      <c r="AX110" s="1138"/>
      <c r="AY110" s="1138"/>
      <c r="AZ110" s="1138"/>
      <c r="BA110" s="1138"/>
      <c r="BB110" s="1138"/>
      <c r="BC110" s="1138"/>
      <c r="BD110" s="1138"/>
      <c r="BE110" s="1138"/>
      <c r="BF110" s="1138"/>
      <c r="BG110" s="1138"/>
      <c r="BH110" s="1138"/>
      <c r="BI110" s="1138"/>
      <c r="BJ110" s="1138"/>
      <c r="BK110" s="1138"/>
      <c r="BL110" s="1138"/>
      <c r="BM110" s="1138"/>
      <c r="BN110" s="1138"/>
      <c r="BO110" s="1138"/>
      <c r="BP110" s="1138"/>
      <c r="BQ110" s="1138"/>
      <c r="BR110" s="1138"/>
      <c r="BS110" s="1138"/>
      <c r="BT110" s="1139"/>
      <c r="BU110" s="1139"/>
      <c r="BV110" s="1139"/>
      <c r="BW110" s="1139"/>
      <c r="BX110" s="1139"/>
      <c r="BY110" s="1139"/>
      <c r="BZ110" s="1139"/>
      <c r="CA110" s="1139"/>
      <c r="CB110" s="1139"/>
      <c r="CC110" s="1139"/>
      <c r="CD110" s="1139"/>
      <c r="CE110" s="1139"/>
      <c r="CF110" s="1139"/>
      <c r="CG110" s="1139"/>
      <c r="CH110" s="1139"/>
      <c r="CI110" s="1139"/>
      <c r="CJ110" s="1139"/>
      <c r="CK110" s="1139"/>
      <c r="CL110" s="1138"/>
      <c r="CM110" s="1138"/>
      <c r="CN110" s="1138"/>
      <c r="CO110" s="1138"/>
      <c r="CP110" s="1138"/>
      <c r="CQ110" s="1138"/>
      <c r="CR110" s="1138"/>
      <c r="CS110" s="1138"/>
      <c r="CT110" s="1138"/>
      <c r="CU110" s="1138"/>
      <c r="CV110" s="1138"/>
      <c r="CW110" s="1138"/>
      <c r="CX110" s="1138"/>
      <c r="CY110" s="1139"/>
      <c r="CZ110" s="1139"/>
      <c r="DA110" s="1139"/>
      <c r="DB110" s="1139"/>
      <c r="DC110" s="1139"/>
      <c r="DD110" s="1139"/>
      <c r="DE110" s="1139"/>
      <c r="DF110" s="1139"/>
      <c r="DG110" s="1139"/>
      <c r="DH110" s="1139"/>
      <c r="DI110" s="1139"/>
      <c r="DJ110" s="1139"/>
      <c r="DK110" s="1138"/>
      <c r="DL110" s="1138"/>
      <c r="DM110" s="1138"/>
      <c r="DN110" s="1138"/>
      <c r="DO110" s="1138"/>
      <c r="DP110" s="1138"/>
      <c r="DQ110" s="1138"/>
      <c r="DR110" s="1138"/>
      <c r="DS110" s="1138"/>
      <c r="DT110" s="1138"/>
      <c r="DU110" s="1138"/>
      <c r="DV110" s="1138"/>
      <c r="DW110" s="1138"/>
      <c r="DX110" s="1138"/>
      <c r="DY110" s="1138"/>
      <c r="DZ110" s="1138"/>
      <c r="EA110" s="1138"/>
      <c r="EB110" s="1138"/>
      <c r="EC110" s="1138"/>
      <c r="ED110" s="1138"/>
      <c r="EE110" s="1138"/>
      <c r="EF110" s="1138"/>
      <c r="EG110" s="1138"/>
      <c r="EH110" s="1138"/>
      <c r="EI110" s="1138"/>
      <c r="EJ110" s="1138"/>
      <c r="EK110" s="1138"/>
      <c r="EL110" s="1138"/>
      <c r="EM110" s="1138"/>
      <c r="EN110" s="1138"/>
      <c r="EO110" s="1138"/>
      <c r="EP110" s="1138"/>
      <c r="EQ110" s="1138"/>
      <c r="ER110" s="1138"/>
      <c r="ES110" s="1138"/>
      <c r="ET110" s="1138"/>
      <c r="EU110" s="1138"/>
      <c r="EV110" s="1138"/>
      <c r="EW110" s="1138"/>
      <c r="EX110" s="1138"/>
      <c r="EY110" s="1138"/>
      <c r="EZ110" s="1138"/>
      <c r="FA110" s="1138"/>
      <c r="FB110" s="1138"/>
      <c r="FC110" s="1138"/>
      <c r="FD110" s="1138"/>
      <c r="FE110" s="1138"/>
      <c r="FF110" s="1138"/>
      <c r="FG110" s="1138"/>
      <c r="FH110" s="1138"/>
      <c r="FI110" s="1138"/>
      <c r="FJ110" s="1138"/>
      <c r="FK110" s="1138"/>
      <c r="FL110" s="1138"/>
      <c r="FM110" s="1138"/>
      <c r="FN110" s="1138"/>
      <c r="FO110" s="1138"/>
      <c r="FP110" s="1138"/>
      <c r="FQ110" s="1138"/>
      <c r="FR110" s="1138"/>
      <c r="FS110" s="1138"/>
      <c r="FT110" s="1138"/>
      <c r="FU110" s="1138"/>
      <c r="FV110" s="1138"/>
      <c r="FW110" s="1138"/>
      <c r="FX110" s="1129"/>
    </row>
    <row r="111" spans="1:184" s="855" customFormat="1" ht="12" customHeight="1">
      <c r="A111" s="854"/>
      <c r="B111" s="853"/>
      <c r="C111" s="854"/>
      <c r="D111" s="854"/>
      <c r="E111" s="854"/>
      <c r="F111" s="1140"/>
      <c r="G111" s="1726" t="s">
        <v>1976</v>
      </c>
      <c r="H111" s="1141"/>
      <c r="I111" s="1141"/>
      <c r="J111" s="1141"/>
      <c r="K111" s="1141"/>
      <c r="L111" s="1141"/>
      <c r="M111" s="1141"/>
      <c r="N111" s="1141"/>
      <c r="O111" s="1141"/>
      <c r="P111" s="1141"/>
      <c r="Q111" s="1141"/>
      <c r="R111" s="1141"/>
      <c r="S111" s="1141"/>
      <c r="T111" s="1141"/>
      <c r="U111" s="1141"/>
      <c r="V111" s="1141"/>
      <c r="W111" s="1141"/>
      <c r="X111" s="1141"/>
      <c r="Y111" s="1141"/>
      <c r="Z111" s="1141"/>
      <c r="AA111" s="1141"/>
      <c r="AB111" s="1141"/>
      <c r="AC111" s="1141"/>
      <c r="AD111" s="1141"/>
      <c r="AE111" s="1141"/>
      <c r="AF111" s="1141"/>
      <c r="AG111" s="1141"/>
      <c r="AH111" s="1141"/>
      <c r="AI111" s="1141"/>
      <c r="AJ111" s="1141"/>
      <c r="AK111" s="1141"/>
      <c r="AL111" s="1141"/>
      <c r="AM111" s="1141"/>
      <c r="AN111" s="1141"/>
      <c r="AO111" s="1141"/>
      <c r="AP111" s="1141"/>
      <c r="AQ111" s="1141"/>
      <c r="AR111" s="1141"/>
      <c r="AS111" s="1141"/>
      <c r="AT111" s="1141"/>
      <c r="AU111" s="1141"/>
      <c r="AV111" s="1141"/>
      <c r="AW111" s="1141"/>
      <c r="AX111" s="1141"/>
      <c r="AY111" s="1141"/>
      <c r="AZ111" s="1141"/>
      <c r="BA111" s="1141"/>
      <c r="BB111" s="1141"/>
      <c r="BC111" s="1141"/>
      <c r="BD111" s="1141"/>
      <c r="BE111" s="1141"/>
      <c r="BF111" s="1141"/>
      <c r="BG111" s="1141"/>
      <c r="BH111" s="1141"/>
      <c r="BI111" s="1141"/>
      <c r="BJ111" s="1141"/>
      <c r="BK111" s="1141"/>
      <c r="BL111" s="1141"/>
      <c r="BM111" s="1141"/>
      <c r="BN111" s="1141"/>
      <c r="BO111" s="1141"/>
      <c r="BP111" s="1141"/>
      <c r="BQ111" s="1141"/>
      <c r="BR111" s="1141"/>
      <c r="BS111" s="1141"/>
      <c r="BT111" s="1141"/>
      <c r="BU111" s="1141"/>
      <c r="BV111" s="1141"/>
      <c r="BW111" s="1141"/>
      <c r="BX111" s="1141"/>
      <c r="BY111" s="1141"/>
      <c r="BZ111" s="1141"/>
      <c r="CA111" s="1141"/>
      <c r="CB111" s="1141"/>
      <c r="CC111" s="1141"/>
      <c r="CD111" s="1141"/>
      <c r="CE111" s="1141"/>
      <c r="CF111" s="1141"/>
      <c r="CG111" s="1141"/>
      <c r="CH111" s="1141"/>
      <c r="CI111" s="1141"/>
      <c r="CJ111" s="1141"/>
      <c r="CK111" s="1141"/>
      <c r="CL111" s="1141"/>
      <c r="CM111" s="1141"/>
      <c r="CN111" s="1141"/>
      <c r="CO111" s="1141"/>
      <c r="CP111" s="1141"/>
      <c r="CQ111" s="1141"/>
      <c r="CR111" s="1141"/>
      <c r="CS111" s="1141"/>
      <c r="CT111" s="1141"/>
      <c r="CU111" s="1141"/>
      <c r="CV111" s="1141"/>
      <c r="CW111" s="1141"/>
      <c r="CX111" s="1141"/>
      <c r="CY111" s="1141"/>
      <c r="CZ111" s="1141"/>
      <c r="DA111" s="1141"/>
      <c r="DB111" s="1141"/>
      <c r="DC111" s="1141"/>
      <c r="DD111" s="1141"/>
      <c r="DE111" s="1141"/>
      <c r="DF111" s="1141"/>
      <c r="DG111" s="1141"/>
      <c r="DH111" s="1141"/>
      <c r="DI111" s="1141"/>
      <c r="DJ111" s="1141"/>
      <c r="DK111" s="1141"/>
      <c r="DL111" s="1141"/>
      <c r="DM111" s="1141"/>
      <c r="DN111" s="1141"/>
      <c r="DO111" s="1141"/>
      <c r="DP111" s="1141"/>
      <c r="DQ111" s="1141"/>
      <c r="DR111" s="1141"/>
      <c r="DS111" s="1141"/>
      <c r="DT111" s="1141"/>
      <c r="DU111" s="1141"/>
      <c r="DV111" s="1141"/>
      <c r="DW111" s="1141"/>
      <c r="DX111" s="1141"/>
      <c r="DY111" s="1141"/>
      <c r="DZ111" s="1141"/>
      <c r="EA111" s="1141"/>
      <c r="EB111" s="1141"/>
      <c r="EC111" s="1141"/>
      <c r="ED111" s="1141"/>
      <c r="EE111" s="1141"/>
      <c r="EF111" s="1141"/>
      <c r="EG111" s="1141"/>
      <c r="EH111" s="1141"/>
      <c r="EI111" s="1141"/>
      <c r="EJ111" s="1141"/>
      <c r="EK111" s="1141"/>
      <c r="EL111" s="1141"/>
      <c r="EM111" s="1141"/>
      <c r="EN111" s="1141"/>
      <c r="EO111" s="1141"/>
      <c r="EP111" s="1141"/>
      <c r="EQ111" s="1141"/>
      <c r="ER111" s="1141"/>
      <c r="ES111" s="1141"/>
      <c r="ET111" s="1141"/>
      <c r="EU111" s="1141"/>
      <c r="EV111" s="1141"/>
      <c r="EW111" s="1141"/>
      <c r="EX111" s="1141"/>
      <c r="EY111" s="1141"/>
      <c r="EZ111" s="1141"/>
      <c r="FA111" s="1141"/>
      <c r="FB111" s="1141"/>
      <c r="FC111" s="1141"/>
      <c r="FD111" s="1141"/>
      <c r="FE111" s="1141"/>
      <c r="FF111" s="1141"/>
      <c r="FG111" s="1141"/>
      <c r="FH111" s="1141"/>
      <c r="FI111" s="1141"/>
      <c r="FJ111" s="1141"/>
      <c r="FK111" s="1141"/>
      <c r="FL111" s="1141"/>
      <c r="FM111" s="1141"/>
      <c r="FN111" s="1141"/>
      <c r="FO111" s="1141"/>
      <c r="FP111" s="1141"/>
      <c r="FQ111" s="1141"/>
      <c r="FR111" s="1141"/>
      <c r="FS111" s="1141"/>
      <c r="FT111" s="1141"/>
      <c r="FU111" s="1141"/>
      <c r="FV111" s="1141"/>
      <c r="FW111" s="1142"/>
      <c r="FX111" s="1143"/>
      <c r="FY111" s="871"/>
      <c r="FZ111" s="871"/>
      <c r="GA111" s="871"/>
      <c r="GB111" s="871"/>
    </row>
    <row r="113" spans="1:83" s="1741" customFormat="1" ht="11.25" customHeight="1">
      <c r="A113" s="1741" t="s">
        <v>1977</v>
      </c>
    </row>
    <row r="115" spans="1:83" s="1775" customFormat="1" ht="15" customHeight="1">
      <c r="A115" s="560"/>
      <c r="B115" s="561"/>
      <c r="C115" s="561"/>
      <c r="D115" s="3114" t="s">
        <v>114</v>
      </c>
      <c r="E115" s="2995" t="s">
        <v>110</v>
      </c>
      <c r="F115" s="2996"/>
      <c r="G115" s="2997"/>
      <c r="H115" s="2991" t="str">
        <f>IF(A115="","",INDEX(DIFFERENTIATION_UNMERGE_VD,MATCH(A115,DIFFERENTIATION_ID_DIFF,0)))</f>
        <v/>
      </c>
      <c r="I115" s="2991"/>
      <c r="J115" s="2991"/>
      <c r="K115" s="2991"/>
      <c r="L115" s="2991"/>
      <c r="M115" s="2991"/>
      <c r="N115" s="2991"/>
      <c r="O115" s="2991"/>
      <c r="P115" s="2991"/>
      <c r="Q115" s="2991"/>
      <c r="R115" s="2991"/>
      <c r="S115" s="656"/>
      <c r="T115" s="653"/>
      <c r="U115" s="562"/>
      <c r="V115" s="562"/>
      <c r="W115" s="563"/>
      <c r="X115" s="563"/>
      <c r="Y115" s="563"/>
      <c r="Z115" s="563"/>
      <c r="AA115" s="564"/>
      <c r="AB115" s="565"/>
      <c r="AC115" s="2994"/>
      <c r="AD115" s="566"/>
      <c r="AE115" s="567" t="s">
        <v>30</v>
      </c>
      <c r="AF115" s="567"/>
      <c r="AG115" s="568" t="s">
        <v>655</v>
      </c>
      <c r="AH115" s="569">
        <v>3</v>
      </c>
      <c r="AI115" s="562"/>
      <c r="AJ115" s="562"/>
      <c r="AK115" s="562"/>
      <c r="AL115" s="562"/>
      <c r="AM115" s="562"/>
      <c r="AN115" s="562"/>
      <c r="AO115" s="562"/>
      <c r="AP115" s="562"/>
      <c r="AQ115" s="562"/>
      <c r="AR115" s="562"/>
      <c r="AS115" s="562"/>
      <c r="AT115" s="562"/>
      <c r="AU115" s="562"/>
      <c r="AV115" s="562"/>
      <c r="AW115" s="562"/>
      <c r="AX115" s="562"/>
      <c r="AY115" s="562"/>
      <c r="AZ115" s="562"/>
      <c r="BA115" s="562"/>
      <c r="BB115" s="562"/>
      <c r="BC115" s="562"/>
      <c r="BD115" s="562"/>
      <c r="BE115" s="562"/>
      <c r="BF115" s="562"/>
      <c r="BG115" s="562"/>
      <c r="BH115" s="562"/>
      <c r="BI115" s="562"/>
      <c r="BJ115" s="562"/>
      <c r="BK115" s="562"/>
      <c r="BL115" s="562"/>
      <c r="BM115" s="562"/>
      <c r="BN115" s="562"/>
      <c r="BO115" s="562"/>
      <c r="BP115" s="562"/>
      <c r="BQ115" s="562"/>
      <c r="BR115" s="562"/>
      <c r="BS115" s="562"/>
      <c r="BT115" s="562"/>
      <c r="BU115" s="562"/>
      <c r="BV115" s="563"/>
      <c r="BW115" s="563"/>
      <c r="BX115" s="563"/>
      <c r="BY115" s="563"/>
      <c r="BZ115" s="563"/>
      <c r="CA115" s="563"/>
      <c r="CB115" s="563"/>
      <c r="CC115" s="563"/>
      <c r="CD115" s="563"/>
      <c r="CE115" s="563"/>
    </row>
    <row r="116" spans="1:83" s="1775" customFormat="1" ht="15" customHeight="1">
      <c r="A116" s="560"/>
      <c r="B116" s="561"/>
      <c r="C116" s="561"/>
      <c r="D116" s="3115"/>
      <c r="E116" s="2995" t="s">
        <v>610</v>
      </c>
      <c r="F116" s="2996"/>
      <c r="G116" s="2997"/>
      <c r="H116" s="2991" t="str">
        <f>IF(A115="","",INDEX(DIFFERENTIATION_UNMERGE_AREA,MATCH(A115,DIFFERENTIATION_ID_DIFF,0)))</f>
        <v/>
      </c>
      <c r="I116" s="2991"/>
      <c r="J116" s="2991"/>
      <c r="K116" s="2991"/>
      <c r="L116" s="2991"/>
      <c r="M116" s="2991"/>
      <c r="N116" s="2991"/>
      <c r="O116" s="2991"/>
      <c r="P116" s="2991"/>
      <c r="Q116" s="2991"/>
      <c r="R116" s="2991"/>
      <c r="S116" s="656"/>
      <c r="T116" s="653"/>
      <c r="U116" s="562"/>
      <c r="V116" s="562"/>
      <c r="W116" s="563"/>
      <c r="X116" s="563"/>
      <c r="Y116" s="563"/>
      <c r="Z116" s="563"/>
      <c r="AA116" s="564"/>
      <c r="AB116" s="565"/>
      <c r="AC116" s="2994"/>
      <c r="AD116" s="566"/>
      <c r="AE116" s="567"/>
      <c r="AF116" s="567"/>
      <c r="AG116" s="568"/>
      <c r="AH116" s="569"/>
      <c r="AI116" s="562"/>
      <c r="AJ116" s="562"/>
      <c r="AK116" s="562"/>
      <c r="AL116" s="562"/>
      <c r="AM116" s="562"/>
      <c r="AN116" s="562"/>
      <c r="AO116" s="562"/>
      <c r="AP116" s="562"/>
      <c r="AQ116" s="562"/>
      <c r="AR116" s="562"/>
      <c r="AS116" s="562"/>
      <c r="AT116" s="562"/>
      <c r="AU116" s="562"/>
      <c r="AV116" s="562"/>
      <c r="AW116" s="562"/>
      <c r="AX116" s="562"/>
      <c r="AY116" s="562"/>
      <c r="AZ116" s="562"/>
      <c r="BA116" s="562"/>
      <c r="BB116" s="562"/>
      <c r="BC116" s="562"/>
      <c r="BD116" s="562"/>
      <c r="BE116" s="562"/>
      <c r="BF116" s="562"/>
      <c r="BG116" s="562"/>
      <c r="BH116" s="562"/>
      <c r="BI116" s="562"/>
      <c r="BJ116" s="562"/>
      <c r="BK116" s="562"/>
      <c r="BL116" s="562"/>
      <c r="BM116" s="562"/>
      <c r="BN116" s="562"/>
      <c r="BO116" s="562"/>
      <c r="BP116" s="562"/>
      <c r="BQ116" s="562"/>
      <c r="BR116" s="562"/>
      <c r="BS116" s="562"/>
      <c r="BT116" s="562"/>
      <c r="BU116" s="562"/>
      <c r="BV116" s="563"/>
      <c r="BW116" s="563"/>
      <c r="BX116" s="563"/>
      <c r="BY116" s="563"/>
      <c r="BZ116" s="563"/>
      <c r="CA116" s="563"/>
      <c r="CB116" s="563"/>
      <c r="CC116" s="563"/>
      <c r="CD116" s="563"/>
      <c r="CE116" s="563"/>
    </row>
    <row r="117" spans="1:83" s="1775" customFormat="1" ht="15" customHeight="1">
      <c r="A117" s="560"/>
      <c r="B117" s="561"/>
      <c r="C117" s="561"/>
      <c r="D117" s="3115"/>
      <c r="E117" s="2995" t="s">
        <v>611</v>
      </c>
      <c r="F117" s="2996"/>
      <c r="G117" s="2997"/>
      <c r="H117" s="2991" t="str">
        <f>IF(A115="","",INDEX(DIFFERENTIATION_UNMERGE_SYSTEM,MATCH(A115,DIFFERENTIATION_ID_DIFF,0)))</f>
        <v/>
      </c>
      <c r="I117" s="2991"/>
      <c r="J117" s="2991"/>
      <c r="K117" s="2991"/>
      <c r="L117" s="2991"/>
      <c r="M117" s="2991"/>
      <c r="N117" s="2991"/>
      <c r="O117" s="2991"/>
      <c r="P117" s="2991"/>
      <c r="Q117" s="2991"/>
      <c r="R117" s="2991"/>
      <c r="S117" s="656"/>
      <c r="T117" s="653"/>
      <c r="U117" s="562"/>
      <c r="V117" s="562"/>
      <c r="W117" s="563"/>
      <c r="X117" s="563"/>
      <c r="Y117" s="563"/>
      <c r="Z117" s="563"/>
      <c r="AA117" s="564"/>
      <c r="AB117" s="565"/>
      <c r="AC117" s="2994"/>
      <c r="AD117" s="566"/>
      <c r="AE117" s="567"/>
      <c r="AF117" s="567"/>
      <c r="AG117" s="568"/>
      <c r="AH117" s="569"/>
      <c r="AI117" s="562"/>
      <c r="AJ117" s="562"/>
      <c r="AK117" s="562"/>
      <c r="AL117" s="562"/>
      <c r="AM117" s="562"/>
      <c r="AN117" s="562"/>
      <c r="AO117" s="562"/>
      <c r="AP117" s="562"/>
      <c r="AQ117" s="562"/>
      <c r="AR117" s="562"/>
      <c r="AS117" s="562"/>
      <c r="AT117" s="562"/>
      <c r="AU117" s="562"/>
      <c r="AV117" s="562"/>
      <c r="AW117" s="562"/>
      <c r="AX117" s="562"/>
      <c r="AY117" s="562"/>
      <c r="AZ117" s="562"/>
      <c r="BA117" s="562"/>
      <c r="BB117" s="562"/>
      <c r="BC117" s="562"/>
      <c r="BD117" s="562"/>
      <c r="BE117" s="562"/>
      <c r="BF117" s="562"/>
      <c r="BG117" s="562"/>
      <c r="BH117" s="562"/>
      <c r="BI117" s="562"/>
      <c r="BJ117" s="562"/>
      <c r="BK117" s="562"/>
      <c r="BL117" s="562"/>
      <c r="BM117" s="562"/>
      <c r="BN117" s="562"/>
      <c r="BO117" s="562"/>
      <c r="BP117" s="562"/>
      <c r="BQ117" s="562"/>
      <c r="BR117" s="562"/>
      <c r="BS117" s="562"/>
      <c r="BT117" s="562"/>
      <c r="BU117" s="562"/>
      <c r="BV117" s="563"/>
      <c r="BW117" s="563"/>
      <c r="BX117" s="563"/>
      <c r="BY117" s="563"/>
      <c r="BZ117" s="563"/>
      <c r="CA117" s="563"/>
      <c r="CB117" s="563"/>
      <c r="CC117" s="563"/>
      <c r="CD117" s="563"/>
      <c r="CE117" s="563"/>
    </row>
    <row r="118" spans="1:83" s="1775" customFormat="1" ht="24.75" customHeight="1">
      <c r="A118" s="1732"/>
      <c r="B118" s="1087"/>
      <c r="C118" s="349"/>
      <c r="D118" s="3115"/>
      <c r="E118" s="2993" t="s">
        <v>656</v>
      </c>
      <c r="F118" s="2993"/>
      <c r="G118" s="2993"/>
      <c r="H118" s="2993"/>
      <c r="I118" s="2993"/>
      <c r="J118" s="2993"/>
      <c r="K118" s="2993"/>
      <c r="L118" s="2993"/>
      <c r="M118" s="2993"/>
      <c r="N118" s="2993"/>
      <c r="O118" s="2993"/>
      <c r="P118" s="2993"/>
      <c r="Q118" s="495">
        <f>SUMIF(T119:T120,"i",Q119:Q120)</f>
        <v>0</v>
      </c>
      <c r="R118" s="947"/>
      <c r="S118" s="1724" t="s">
        <v>657</v>
      </c>
      <c r="T118" s="654" t="s">
        <v>658</v>
      </c>
      <c r="U118" s="2900">
        <v>1</v>
      </c>
      <c r="V118" s="2900" t="s">
        <v>621</v>
      </c>
      <c r="W118" s="1087"/>
      <c r="X118" s="1087"/>
      <c r="Y118" s="1087"/>
      <c r="Z118" s="1087"/>
      <c r="AA118" s="1563"/>
      <c r="AB118" s="1087"/>
      <c r="AC118" s="2994"/>
      <c r="AD118" s="566"/>
      <c r="AE118" s="1087"/>
      <c r="AF118" s="1087"/>
      <c r="AG118" s="1563"/>
      <c r="AH118" s="1563"/>
      <c r="AI118" s="1563"/>
      <c r="AJ118" s="1563"/>
      <c r="AK118" s="1563"/>
      <c r="AL118" s="1563"/>
      <c r="AM118" s="1563"/>
      <c r="AN118" s="1563"/>
      <c r="AO118" s="1563"/>
      <c r="AP118" s="1563"/>
      <c r="AQ118" s="1563"/>
      <c r="AR118" s="1563"/>
      <c r="AS118" s="1563"/>
      <c r="AT118" s="1563"/>
      <c r="AU118" s="1563"/>
      <c r="AV118" s="1563"/>
      <c r="AW118" s="1563"/>
      <c r="AX118" s="1563"/>
      <c r="AY118" s="1563"/>
      <c r="AZ118" s="1563"/>
      <c r="BA118" s="1563"/>
      <c r="BB118" s="1563"/>
      <c r="BC118" s="1563"/>
      <c r="BD118" s="1563"/>
      <c r="BE118" s="1563"/>
      <c r="BF118" s="1563"/>
      <c r="BG118" s="1563"/>
      <c r="BH118" s="1563"/>
      <c r="BI118" s="1563"/>
      <c r="BJ118" s="1563"/>
      <c r="BK118" s="1563"/>
      <c r="BL118" s="1563"/>
      <c r="BM118" s="1563"/>
      <c r="BN118" s="1563"/>
      <c r="BO118" s="1563"/>
      <c r="BP118" s="1563"/>
      <c r="BQ118" s="1563"/>
      <c r="BR118" s="1563"/>
      <c r="BS118" s="1563"/>
      <c r="BT118" s="1563"/>
      <c r="BU118" s="1563"/>
      <c r="BV118" s="1087"/>
      <c r="BW118" s="1087"/>
      <c r="BX118" s="1087"/>
      <c r="BY118" s="1087"/>
      <c r="BZ118" s="1087"/>
      <c r="CA118" s="1087"/>
      <c r="CB118" s="1087"/>
      <c r="CC118" s="1087"/>
      <c r="CD118" s="1087"/>
      <c r="CE118" s="1087"/>
    </row>
    <row r="119" spans="1:83" s="1775" customFormat="1" ht="11.25" hidden="1" customHeight="1">
      <c r="A119" s="1719"/>
      <c r="B119" s="1563"/>
      <c r="C119" s="1563"/>
      <c r="D119" s="3115"/>
      <c r="E119" s="572"/>
      <c r="F119" s="572">
        <v>0</v>
      </c>
      <c r="G119" s="572"/>
      <c r="H119" s="572"/>
      <c r="I119" s="572"/>
      <c r="J119" s="572"/>
      <c r="K119" s="572"/>
      <c r="L119" s="572"/>
      <c r="M119" s="572"/>
      <c r="N119" s="572"/>
      <c r="O119" s="572"/>
      <c r="P119" s="572"/>
      <c r="Q119" s="572"/>
      <c r="R119" s="572"/>
      <c r="S119" s="573"/>
      <c r="T119" s="655"/>
      <c r="U119" s="2900"/>
      <c r="V119" s="2900"/>
      <c r="W119" s="1563"/>
      <c r="X119" s="1563"/>
      <c r="Y119" s="1563"/>
      <c r="Z119" s="1563"/>
      <c r="AA119" s="1563"/>
      <c r="AB119" s="1087"/>
      <c r="AC119" s="2994"/>
      <c r="AD119" s="566"/>
      <c r="AE119" s="1087"/>
      <c r="AF119" s="1087"/>
      <c r="AG119" s="1563"/>
      <c r="AH119" s="1563"/>
      <c r="AI119" s="1563"/>
      <c r="AJ119" s="1563"/>
      <c r="AK119" s="1563"/>
      <c r="AL119" s="1563"/>
      <c r="AM119" s="1563"/>
      <c r="AN119" s="1563"/>
      <c r="AO119" s="1563"/>
      <c r="AP119" s="1563"/>
      <c r="AQ119" s="1563"/>
      <c r="AR119" s="1563"/>
      <c r="AS119" s="1563"/>
      <c r="AT119" s="1563"/>
      <c r="AU119" s="1563"/>
      <c r="AV119" s="1563"/>
      <c r="AW119" s="1563"/>
      <c r="AX119" s="1563"/>
      <c r="AY119" s="1563"/>
      <c r="AZ119" s="1563"/>
      <c r="BA119" s="1563"/>
      <c r="BB119" s="1563"/>
      <c r="BC119" s="1563"/>
      <c r="BD119" s="1563"/>
      <c r="BE119" s="1563"/>
      <c r="BF119" s="1563"/>
      <c r="BG119" s="1563"/>
      <c r="BH119" s="1563"/>
      <c r="BI119" s="1563"/>
      <c r="BJ119" s="1563"/>
      <c r="BK119" s="1563"/>
      <c r="BL119" s="1563"/>
      <c r="BM119" s="1563"/>
      <c r="BN119" s="1563"/>
      <c r="BO119" s="1563"/>
      <c r="BP119" s="1563"/>
      <c r="BQ119" s="1563"/>
      <c r="BR119" s="1563"/>
      <c r="BS119" s="1563"/>
      <c r="BT119" s="1563"/>
      <c r="BU119" s="1563"/>
      <c r="BV119" s="1563"/>
      <c r="BW119" s="1563"/>
      <c r="BX119" s="1563"/>
      <c r="BY119" s="1563"/>
      <c r="BZ119" s="1563"/>
      <c r="CA119" s="1563"/>
      <c r="CB119" s="1563"/>
      <c r="CC119" s="1563"/>
      <c r="CD119" s="1563"/>
      <c r="CE119" s="1563"/>
    </row>
    <row r="120" spans="1:83" s="1775" customFormat="1" ht="11.25" customHeight="1">
      <c r="A120" s="1732"/>
      <c r="B120" s="1087"/>
      <c r="C120" s="349"/>
      <c r="D120" s="3115"/>
      <c r="E120" s="586" t="s">
        <v>30</v>
      </c>
      <c r="F120" s="1095" t="s">
        <v>30</v>
      </c>
      <c r="G120" s="1095" t="s">
        <v>1978</v>
      </c>
      <c r="H120" s="588" t="s">
        <v>30</v>
      </c>
      <c r="I120" s="588"/>
      <c r="J120" s="588"/>
      <c r="K120" s="588"/>
      <c r="L120" s="588"/>
      <c r="M120" s="588"/>
      <c r="N120" s="588"/>
      <c r="O120" s="588"/>
      <c r="P120" s="588"/>
      <c r="Q120" s="588"/>
      <c r="R120" s="589"/>
      <c r="S120" s="590"/>
      <c r="T120" s="655"/>
      <c r="U120" s="2900"/>
      <c r="V120" s="2900"/>
      <c r="W120" s="1087"/>
      <c r="X120" s="1087"/>
      <c r="Y120" s="1087"/>
      <c r="Z120" s="1087"/>
      <c r="AA120" s="1563"/>
      <c r="AB120" s="1087"/>
      <c r="AC120" s="2994"/>
      <c r="AD120" s="566"/>
      <c r="AE120" s="1087"/>
      <c r="AF120" s="1087"/>
      <c r="AG120" s="1563"/>
      <c r="AH120" s="1563"/>
      <c r="AI120" s="1563"/>
      <c r="AJ120" s="1563"/>
      <c r="AK120" s="1563"/>
      <c r="AL120" s="1563"/>
      <c r="AM120" s="1563"/>
      <c r="AN120" s="1563"/>
      <c r="AO120" s="1563"/>
      <c r="AP120" s="1563"/>
      <c r="AQ120" s="1563"/>
      <c r="AR120" s="1563"/>
      <c r="AS120" s="1563"/>
      <c r="AT120" s="1563"/>
      <c r="AU120" s="1563"/>
      <c r="AV120" s="1563"/>
      <c r="AW120" s="1563"/>
      <c r="AX120" s="1563"/>
      <c r="AY120" s="1563"/>
      <c r="AZ120" s="1563"/>
      <c r="BA120" s="1563"/>
      <c r="BB120" s="1563"/>
      <c r="BC120" s="1563"/>
      <c r="BD120" s="1563"/>
      <c r="BE120" s="1563"/>
      <c r="BF120" s="1563"/>
      <c r="BG120" s="1563"/>
      <c r="BH120" s="1563"/>
      <c r="BI120" s="1563"/>
      <c r="BJ120" s="1563"/>
      <c r="BK120" s="1563"/>
      <c r="BL120" s="1563"/>
      <c r="BM120" s="1563"/>
      <c r="BN120" s="1563"/>
      <c r="BO120" s="1563"/>
      <c r="BP120" s="1563"/>
      <c r="BQ120" s="1563"/>
      <c r="BR120" s="1563"/>
      <c r="BS120" s="1563"/>
      <c r="BT120" s="1563"/>
      <c r="BU120" s="1563"/>
      <c r="BV120" s="1087"/>
      <c r="BW120" s="1087"/>
      <c r="BX120" s="1087"/>
      <c r="BY120" s="1087"/>
      <c r="BZ120" s="1087"/>
      <c r="CA120" s="1087"/>
      <c r="CB120" s="1087"/>
      <c r="CC120" s="1087"/>
      <c r="CD120" s="1087"/>
      <c r="CE120" s="1087"/>
    </row>
    <row r="121" spans="1:83" s="1775" customFormat="1" ht="24.75" customHeight="1">
      <c r="A121" s="1732"/>
      <c r="B121" s="1087"/>
      <c r="C121" s="349"/>
      <c r="D121" s="3115"/>
      <c r="E121" s="2993" t="s">
        <v>659</v>
      </c>
      <c r="F121" s="2993"/>
      <c r="G121" s="2993"/>
      <c r="H121" s="2993"/>
      <c r="I121" s="2993"/>
      <c r="J121" s="2993"/>
      <c r="K121" s="2993"/>
      <c r="L121" s="2993"/>
      <c r="M121" s="2993"/>
      <c r="N121" s="2993"/>
      <c r="O121" s="2993"/>
      <c r="P121" s="2993"/>
      <c r="Q121" s="495">
        <f>SUMIF(T122:T123,"i",Q122:Q123)</f>
        <v>0</v>
      </c>
      <c r="R121" s="947"/>
      <c r="S121" s="1724" t="s">
        <v>660</v>
      </c>
      <c r="T121" s="654" t="s">
        <v>658</v>
      </c>
      <c r="U121" s="2900">
        <v>1</v>
      </c>
      <c r="V121" s="2900" t="s">
        <v>621</v>
      </c>
      <c r="W121" s="1087"/>
      <c r="X121" s="1087"/>
      <c r="Y121" s="1087"/>
      <c r="Z121" s="1087"/>
      <c r="AA121" s="1563"/>
      <c r="AB121" s="1087"/>
      <c r="AC121" s="1722"/>
      <c r="AD121" s="566"/>
      <c r="AE121" s="1087"/>
      <c r="AF121" s="1087"/>
      <c r="AG121" s="1563"/>
      <c r="AH121" s="1563"/>
      <c r="AI121" s="1563"/>
      <c r="AJ121" s="1563"/>
      <c r="AK121" s="1563"/>
      <c r="AL121" s="1563"/>
      <c r="AM121" s="1563"/>
      <c r="AN121" s="1563"/>
      <c r="AO121" s="1563"/>
      <c r="AP121" s="1563"/>
      <c r="AQ121" s="1563"/>
      <c r="AR121" s="1563"/>
      <c r="AS121" s="1563"/>
      <c r="AT121" s="1563"/>
      <c r="AU121" s="1563"/>
      <c r="AV121" s="1563"/>
      <c r="AW121" s="1563"/>
      <c r="AX121" s="1563"/>
      <c r="AY121" s="1563"/>
      <c r="AZ121" s="1563"/>
      <c r="BA121" s="1563"/>
      <c r="BB121" s="1563"/>
      <c r="BC121" s="1563"/>
      <c r="BD121" s="1563"/>
      <c r="BE121" s="1563"/>
      <c r="BF121" s="1563"/>
      <c r="BG121" s="1563"/>
      <c r="BH121" s="1563"/>
      <c r="BI121" s="1563"/>
      <c r="BJ121" s="1563"/>
      <c r="BK121" s="1563"/>
      <c r="BL121" s="1563"/>
      <c r="BM121" s="1563"/>
      <c r="BN121" s="1563"/>
      <c r="BO121" s="1563"/>
      <c r="BP121" s="1563"/>
      <c r="BQ121" s="1563"/>
      <c r="BR121" s="1563"/>
      <c r="BS121" s="1563"/>
      <c r="BT121" s="1563"/>
      <c r="BU121" s="1563"/>
      <c r="BV121" s="1087"/>
      <c r="BW121" s="1087"/>
      <c r="BX121" s="1087"/>
      <c r="BY121" s="1087"/>
      <c r="BZ121" s="1087"/>
      <c r="CA121" s="1087"/>
      <c r="CB121" s="1087"/>
      <c r="CC121" s="1087"/>
      <c r="CD121" s="1087"/>
      <c r="CE121" s="1087"/>
    </row>
    <row r="122" spans="1:83" s="1775" customFormat="1" ht="11.25" hidden="1" customHeight="1">
      <c r="A122" s="1719"/>
      <c r="B122" s="1563"/>
      <c r="C122" s="1563"/>
      <c r="D122" s="3115"/>
      <c r="E122" s="572"/>
      <c r="F122" s="572">
        <v>0</v>
      </c>
      <c r="G122" s="572"/>
      <c r="H122" s="572"/>
      <c r="I122" s="572"/>
      <c r="J122" s="572"/>
      <c r="K122" s="572"/>
      <c r="L122" s="572"/>
      <c r="M122" s="572"/>
      <c r="N122" s="572"/>
      <c r="O122" s="572"/>
      <c r="P122" s="572"/>
      <c r="Q122" s="572"/>
      <c r="R122" s="572"/>
      <c r="S122" s="573"/>
      <c r="T122" s="655"/>
      <c r="U122" s="2900"/>
      <c r="V122" s="2900"/>
      <c r="W122" s="1563"/>
      <c r="X122" s="1563"/>
      <c r="Y122" s="1563"/>
      <c r="Z122" s="1563"/>
      <c r="AA122" s="1563"/>
      <c r="AB122" s="1087"/>
      <c r="AC122" s="1722"/>
      <c r="AD122" s="566"/>
      <c r="AE122" s="1087"/>
      <c r="AF122" s="1087"/>
      <c r="AG122" s="1563"/>
      <c r="AH122" s="1563"/>
      <c r="AI122" s="1563"/>
      <c r="AJ122" s="1563"/>
      <c r="AK122" s="1563"/>
      <c r="AL122" s="1563"/>
      <c r="AM122" s="1563"/>
      <c r="AN122" s="1563"/>
      <c r="AO122" s="1563"/>
      <c r="AP122" s="1563"/>
      <c r="AQ122" s="1563"/>
      <c r="AR122" s="1563"/>
      <c r="AS122" s="1563"/>
      <c r="AT122" s="1563"/>
      <c r="AU122" s="1563"/>
      <c r="AV122" s="1563"/>
      <c r="AW122" s="1563"/>
      <c r="AX122" s="1563"/>
      <c r="AY122" s="1563"/>
      <c r="AZ122" s="1563"/>
      <c r="BA122" s="1563"/>
      <c r="BB122" s="1563"/>
      <c r="BC122" s="1563"/>
      <c r="BD122" s="1563"/>
      <c r="BE122" s="1563"/>
      <c r="BF122" s="1563"/>
      <c r="BG122" s="1563"/>
      <c r="BH122" s="1563"/>
      <c r="BI122" s="1563"/>
      <c r="BJ122" s="1563"/>
      <c r="BK122" s="1563"/>
      <c r="BL122" s="1563"/>
      <c r="BM122" s="1563"/>
      <c r="BN122" s="1563"/>
      <c r="BO122" s="1563"/>
      <c r="BP122" s="1563"/>
      <c r="BQ122" s="1563"/>
      <c r="BR122" s="1563"/>
      <c r="BS122" s="1563"/>
      <c r="BT122" s="1563"/>
      <c r="BU122" s="1563"/>
      <c r="BV122" s="1563"/>
      <c r="BW122" s="1563"/>
      <c r="BX122" s="1563"/>
      <c r="BY122" s="1563"/>
      <c r="BZ122" s="1563"/>
      <c r="CA122" s="1563"/>
      <c r="CB122" s="1563"/>
      <c r="CC122" s="1563"/>
      <c r="CD122" s="1563"/>
      <c r="CE122" s="1563"/>
    </row>
    <row r="123" spans="1:83" s="1775" customFormat="1" ht="11.25" customHeight="1">
      <c r="A123" s="1732"/>
      <c r="B123" s="1087"/>
      <c r="C123" s="349"/>
      <c r="D123" s="3116"/>
      <c r="E123" s="586" t="s">
        <v>30</v>
      </c>
      <c r="F123" s="1095" t="s">
        <v>30</v>
      </c>
      <c r="G123" s="1095" t="s">
        <v>1978</v>
      </c>
      <c r="H123" s="588" t="s">
        <v>30</v>
      </c>
      <c r="I123" s="588"/>
      <c r="J123" s="588"/>
      <c r="K123" s="588"/>
      <c r="L123" s="588"/>
      <c r="M123" s="588"/>
      <c r="N123" s="588"/>
      <c r="O123" s="588"/>
      <c r="P123" s="588"/>
      <c r="Q123" s="588"/>
      <c r="R123" s="589"/>
      <c r="S123" s="590"/>
      <c r="T123" s="655"/>
      <c r="U123" s="2900"/>
      <c r="V123" s="2900"/>
      <c r="W123" s="1087"/>
      <c r="X123" s="1087"/>
      <c r="Y123" s="1087"/>
      <c r="Z123" s="1087"/>
      <c r="AA123" s="1563"/>
      <c r="AB123" s="1087"/>
      <c r="AC123" s="1722"/>
      <c r="AD123" s="566"/>
      <c r="AE123" s="1087"/>
      <c r="AF123" s="1087"/>
      <c r="AG123" s="1563"/>
      <c r="AH123" s="1563"/>
      <c r="AI123" s="1563"/>
      <c r="AJ123" s="1563"/>
      <c r="AK123" s="1563"/>
      <c r="AL123" s="1563"/>
      <c r="AM123" s="1563"/>
      <c r="AN123" s="1563"/>
      <c r="AO123" s="1563"/>
      <c r="AP123" s="1563"/>
      <c r="AQ123" s="1563"/>
      <c r="AR123" s="1563"/>
      <c r="AS123" s="1563"/>
      <c r="AT123" s="1563"/>
      <c r="AU123" s="1563"/>
      <c r="AV123" s="1563"/>
      <c r="AW123" s="1563"/>
      <c r="AX123" s="1563"/>
      <c r="AY123" s="1563"/>
      <c r="AZ123" s="1563"/>
      <c r="BA123" s="1563"/>
      <c r="BB123" s="1563"/>
      <c r="BC123" s="1563"/>
      <c r="BD123" s="1563"/>
      <c r="BE123" s="1563"/>
      <c r="BF123" s="1563"/>
      <c r="BG123" s="1563"/>
      <c r="BH123" s="1563"/>
      <c r="BI123" s="1563"/>
      <c r="BJ123" s="1563"/>
      <c r="BK123" s="1563"/>
      <c r="BL123" s="1563"/>
      <c r="BM123" s="1563"/>
      <c r="BN123" s="1563"/>
      <c r="BO123" s="1563"/>
      <c r="BP123" s="1563"/>
      <c r="BQ123" s="1563"/>
      <c r="BR123" s="1563"/>
      <c r="BS123" s="1563"/>
      <c r="BT123" s="1563"/>
      <c r="BU123" s="1563"/>
      <c r="BV123" s="1087"/>
      <c r="BW123" s="1087"/>
      <c r="BX123" s="1087"/>
      <c r="BY123" s="1087"/>
      <c r="BZ123" s="1087"/>
      <c r="CA123" s="1087"/>
      <c r="CB123" s="1087"/>
      <c r="CC123" s="1087"/>
      <c r="CD123" s="1087"/>
      <c r="CE123" s="1087"/>
    </row>
    <row r="125" spans="1:83" s="1741" customFormat="1" ht="11.25" customHeight="1">
      <c r="A125" s="1741" t="s">
        <v>1979</v>
      </c>
    </row>
    <row r="127" spans="1:83" s="1775" customFormat="1" ht="15" customHeight="1">
      <c r="A127" s="560"/>
      <c r="B127" s="561"/>
      <c r="C127" s="561"/>
      <c r="D127" s="3114" t="s">
        <v>114</v>
      </c>
      <c r="E127" s="2995" t="s">
        <v>110</v>
      </c>
      <c r="F127" s="2996"/>
      <c r="G127" s="2997"/>
      <c r="H127" s="2991" t="str">
        <f>IF(A127="","",INDEX(DIFFERENTIATION_UNMERGE_VD,MATCH(A127,DIFFERENTIATION_ID_DIFF,0)))</f>
        <v/>
      </c>
      <c r="I127" s="2991"/>
      <c r="J127" s="2991"/>
      <c r="K127" s="2991"/>
      <c r="L127" s="2991"/>
      <c r="M127" s="2991"/>
      <c r="N127" s="2991"/>
      <c r="O127" s="2991"/>
      <c r="P127" s="2991"/>
      <c r="Q127" s="2991"/>
      <c r="R127" s="2991"/>
      <c r="S127" s="656"/>
      <c r="T127" s="653"/>
      <c r="U127" s="562"/>
      <c r="V127" s="562"/>
      <c r="W127" s="563"/>
      <c r="X127" s="563"/>
      <c r="Y127" s="563"/>
      <c r="Z127" s="563"/>
      <c r="AA127" s="564"/>
      <c r="AB127" s="565"/>
      <c r="AC127" s="2994"/>
      <c r="AD127" s="566"/>
      <c r="AE127" s="567" t="s">
        <v>30</v>
      </c>
      <c r="AF127" s="567"/>
      <c r="AG127" s="568" t="s">
        <v>655</v>
      </c>
      <c r="AH127" s="569">
        <v>3</v>
      </c>
      <c r="AI127" s="562"/>
      <c r="AJ127" s="562"/>
      <c r="AK127" s="562"/>
      <c r="AL127" s="562"/>
      <c r="AM127" s="562"/>
      <c r="AN127" s="562"/>
      <c r="AO127" s="562"/>
      <c r="AP127" s="562"/>
      <c r="AQ127" s="562"/>
      <c r="AR127" s="562"/>
      <c r="AS127" s="562"/>
      <c r="AT127" s="562"/>
      <c r="AU127" s="562"/>
      <c r="AV127" s="562"/>
      <c r="AW127" s="562"/>
      <c r="AX127" s="562"/>
      <c r="AY127" s="562"/>
      <c r="AZ127" s="562"/>
      <c r="BA127" s="562"/>
      <c r="BB127" s="562"/>
      <c r="BC127" s="562"/>
      <c r="BD127" s="562"/>
      <c r="BE127" s="562"/>
      <c r="BF127" s="562"/>
      <c r="BG127" s="562"/>
      <c r="BH127" s="562"/>
      <c r="BI127" s="562"/>
      <c r="BJ127" s="562"/>
      <c r="BK127" s="562"/>
      <c r="BL127" s="562"/>
      <c r="BM127" s="562"/>
      <c r="BN127" s="562"/>
      <c r="BO127" s="562"/>
      <c r="BP127" s="562"/>
      <c r="BQ127" s="562"/>
      <c r="BR127" s="562"/>
      <c r="BS127" s="562"/>
      <c r="BT127" s="562"/>
      <c r="BU127" s="562"/>
      <c r="BV127" s="563"/>
      <c r="BW127" s="563"/>
      <c r="BX127" s="563"/>
      <c r="BY127" s="563"/>
      <c r="BZ127" s="563"/>
      <c r="CA127" s="563"/>
      <c r="CB127" s="563"/>
      <c r="CC127" s="563"/>
      <c r="CD127" s="563"/>
      <c r="CE127" s="563"/>
    </row>
    <row r="128" spans="1:83" s="1775" customFormat="1" ht="15" customHeight="1">
      <c r="A128" s="560"/>
      <c r="B128" s="561"/>
      <c r="C128" s="561"/>
      <c r="D128" s="3115"/>
      <c r="E128" s="2995" t="s">
        <v>610</v>
      </c>
      <c r="F128" s="2996"/>
      <c r="G128" s="2997"/>
      <c r="H128" s="2991" t="str">
        <f>IF(A127="","",INDEX(DIFFERENTIATION_UNMERGE_AREA,MATCH(A127,DIFFERENTIATION_ID_DIFF,0)))</f>
        <v/>
      </c>
      <c r="I128" s="2991"/>
      <c r="J128" s="2991"/>
      <c r="K128" s="2991"/>
      <c r="L128" s="2991"/>
      <c r="M128" s="2991"/>
      <c r="N128" s="2991"/>
      <c r="O128" s="2991"/>
      <c r="P128" s="2991"/>
      <c r="Q128" s="2991"/>
      <c r="R128" s="2991"/>
      <c r="S128" s="656"/>
      <c r="T128" s="653"/>
      <c r="U128" s="562"/>
      <c r="V128" s="562"/>
      <c r="W128" s="563"/>
      <c r="X128" s="563"/>
      <c r="Y128" s="563"/>
      <c r="Z128" s="563"/>
      <c r="AA128" s="564"/>
      <c r="AB128" s="565"/>
      <c r="AC128" s="2994"/>
      <c r="AD128" s="566"/>
      <c r="AE128" s="567"/>
      <c r="AF128" s="567"/>
      <c r="AG128" s="568"/>
      <c r="AH128" s="569"/>
      <c r="AI128" s="562"/>
      <c r="AJ128" s="562"/>
      <c r="AK128" s="562"/>
      <c r="AL128" s="562"/>
      <c r="AM128" s="562"/>
      <c r="AN128" s="562"/>
      <c r="AO128" s="562"/>
      <c r="AP128" s="562"/>
      <c r="AQ128" s="562"/>
      <c r="AR128" s="562"/>
      <c r="AS128" s="562"/>
      <c r="AT128" s="562"/>
      <c r="AU128" s="562"/>
      <c r="AV128" s="562"/>
      <c r="AW128" s="562"/>
      <c r="AX128" s="562"/>
      <c r="AY128" s="562"/>
      <c r="AZ128" s="562"/>
      <c r="BA128" s="562"/>
      <c r="BB128" s="562"/>
      <c r="BC128" s="562"/>
      <c r="BD128" s="562"/>
      <c r="BE128" s="562"/>
      <c r="BF128" s="562"/>
      <c r="BG128" s="562"/>
      <c r="BH128" s="562"/>
      <c r="BI128" s="562"/>
      <c r="BJ128" s="562"/>
      <c r="BK128" s="562"/>
      <c r="BL128" s="562"/>
      <c r="BM128" s="562"/>
      <c r="BN128" s="562"/>
      <c r="BO128" s="562"/>
      <c r="BP128" s="562"/>
      <c r="BQ128" s="562"/>
      <c r="BR128" s="562"/>
      <c r="BS128" s="562"/>
      <c r="BT128" s="562"/>
      <c r="BU128" s="562"/>
      <c r="BV128" s="563"/>
      <c r="BW128" s="563"/>
      <c r="BX128" s="563"/>
      <c r="BY128" s="563"/>
      <c r="BZ128" s="563"/>
      <c r="CA128" s="563"/>
      <c r="CB128" s="563"/>
      <c r="CC128" s="563"/>
      <c r="CD128" s="563"/>
      <c r="CE128" s="563"/>
    </row>
    <row r="129" spans="1:83" s="1775" customFormat="1" ht="15" customHeight="1">
      <c r="A129" s="560"/>
      <c r="B129" s="561"/>
      <c r="C129" s="561"/>
      <c r="D129" s="3115"/>
      <c r="E129" s="2995" t="s">
        <v>611</v>
      </c>
      <c r="F129" s="2996"/>
      <c r="G129" s="2997"/>
      <c r="H129" s="2991" t="str">
        <f>IF(A127="","",INDEX(DIFFERENTIATION_UNMERGE_SYSTEM,MATCH(A127,DIFFERENTIATION_ID_DIFF,0)))</f>
        <v/>
      </c>
      <c r="I129" s="2991"/>
      <c r="J129" s="2991"/>
      <c r="K129" s="2991"/>
      <c r="L129" s="2991"/>
      <c r="M129" s="2991"/>
      <c r="N129" s="2991"/>
      <c r="O129" s="2991"/>
      <c r="P129" s="2991"/>
      <c r="Q129" s="2991"/>
      <c r="R129" s="2991"/>
      <c r="S129" s="656"/>
      <c r="T129" s="653"/>
      <c r="U129" s="562"/>
      <c r="V129" s="562"/>
      <c r="W129" s="563"/>
      <c r="X129" s="563"/>
      <c r="Y129" s="563"/>
      <c r="Z129" s="563"/>
      <c r="AA129" s="564"/>
      <c r="AB129" s="565"/>
      <c r="AC129" s="2994"/>
      <c r="AD129" s="566"/>
      <c r="AE129" s="567"/>
      <c r="AF129" s="567"/>
      <c r="AG129" s="568"/>
      <c r="AH129" s="569"/>
      <c r="AI129" s="562"/>
      <c r="AJ129" s="562"/>
      <c r="AK129" s="562"/>
      <c r="AL129" s="562"/>
      <c r="AM129" s="562"/>
      <c r="AN129" s="562"/>
      <c r="AO129" s="562"/>
      <c r="AP129" s="562"/>
      <c r="AQ129" s="562"/>
      <c r="AR129" s="562"/>
      <c r="AS129" s="562"/>
      <c r="AT129" s="562"/>
      <c r="AU129" s="562"/>
      <c r="AV129" s="562"/>
      <c r="AW129" s="562"/>
      <c r="AX129" s="562"/>
      <c r="AY129" s="562"/>
      <c r="AZ129" s="562"/>
      <c r="BA129" s="562"/>
      <c r="BB129" s="562"/>
      <c r="BC129" s="562"/>
      <c r="BD129" s="562"/>
      <c r="BE129" s="562"/>
      <c r="BF129" s="562"/>
      <c r="BG129" s="562"/>
      <c r="BH129" s="562"/>
      <c r="BI129" s="562"/>
      <c r="BJ129" s="562"/>
      <c r="BK129" s="562"/>
      <c r="BL129" s="562"/>
      <c r="BM129" s="562"/>
      <c r="BN129" s="562"/>
      <c r="BO129" s="562"/>
      <c r="BP129" s="562"/>
      <c r="BQ129" s="562"/>
      <c r="BR129" s="562"/>
      <c r="BS129" s="562"/>
      <c r="BT129" s="562"/>
      <c r="BU129" s="562"/>
      <c r="BV129" s="563"/>
      <c r="BW129" s="563"/>
      <c r="BX129" s="563"/>
      <c r="BY129" s="563"/>
      <c r="BZ129" s="563"/>
      <c r="CA129" s="563"/>
      <c r="CB129" s="563"/>
      <c r="CC129" s="563"/>
      <c r="CD129" s="563"/>
      <c r="CE129" s="563"/>
    </row>
    <row r="130" spans="1:83" s="1775" customFormat="1" ht="24.75" customHeight="1">
      <c r="A130" s="1732"/>
      <c r="B130" s="1087"/>
      <c r="C130" s="349"/>
      <c r="D130" s="3115"/>
      <c r="E130" s="2993" t="s">
        <v>656</v>
      </c>
      <c r="F130" s="2993"/>
      <c r="G130" s="2993"/>
      <c r="H130" s="2993"/>
      <c r="I130" s="2993"/>
      <c r="J130" s="2993"/>
      <c r="K130" s="2993"/>
      <c r="L130" s="2993"/>
      <c r="M130" s="2993"/>
      <c r="N130" s="2993"/>
      <c r="O130" s="2993"/>
      <c r="P130" s="2993"/>
      <c r="Q130" s="495">
        <f>SUMIF(T131:T132,"i",Q131:Q132)</f>
        <v>0</v>
      </c>
      <c r="R130" s="947"/>
      <c r="S130" s="1724" t="s">
        <v>657</v>
      </c>
      <c r="T130" s="654" t="s">
        <v>658</v>
      </c>
      <c r="U130" s="2900">
        <v>1</v>
      </c>
      <c r="V130" s="2900" t="s">
        <v>621</v>
      </c>
      <c r="W130" s="1087"/>
      <c r="X130" s="1087"/>
      <c r="Y130" s="1087"/>
      <c r="Z130" s="1087"/>
      <c r="AA130" s="1563"/>
      <c r="AB130" s="1087"/>
      <c r="AC130" s="2994"/>
      <c r="AD130" s="566"/>
      <c r="AE130" s="1087"/>
      <c r="AF130" s="1087"/>
      <c r="AG130" s="1563"/>
      <c r="AH130" s="1563"/>
      <c r="AI130" s="1563"/>
      <c r="AJ130" s="1563"/>
      <c r="AK130" s="1563"/>
      <c r="AL130" s="1563"/>
      <c r="AM130" s="1563"/>
      <c r="AN130" s="1563"/>
      <c r="AO130" s="1563"/>
      <c r="AP130" s="1563"/>
      <c r="AQ130" s="1563"/>
      <c r="AR130" s="1563"/>
      <c r="AS130" s="1563"/>
      <c r="AT130" s="1563"/>
      <c r="AU130" s="1563"/>
      <c r="AV130" s="1563"/>
      <c r="AW130" s="1563"/>
      <c r="AX130" s="1563"/>
      <c r="AY130" s="1563"/>
      <c r="AZ130" s="1563"/>
      <c r="BA130" s="1563"/>
      <c r="BB130" s="1563"/>
      <c r="BC130" s="1563"/>
      <c r="BD130" s="1563"/>
      <c r="BE130" s="1563"/>
      <c r="BF130" s="1563"/>
      <c r="BG130" s="1563"/>
      <c r="BH130" s="1563"/>
      <c r="BI130" s="1563"/>
      <c r="BJ130" s="1563"/>
      <c r="BK130" s="1563"/>
      <c r="BL130" s="1563"/>
      <c r="BM130" s="1563"/>
      <c r="BN130" s="1563"/>
      <c r="BO130" s="1563"/>
      <c r="BP130" s="1563"/>
      <c r="BQ130" s="1563"/>
      <c r="BR130" s="1563"/>
      <c r="BS130" s="1563"/>
      <c r="BT130" s="1563"/>
      <c r="BU130" s="1563"/>
      <c r="BV130" s="1087"/>
      <c r="BW130" s="1087"/>
      <c r="BX130" s="1087"/>
      <c r="BY130" s="1087"/>
      <c r="BZ130" s="1087"/>
      <c r="CA130" s="1087"/>
      <c r="CB130" s="1087"/>
      <c r="CC130" s="1087"/>
      <c r="CD130" s="1087"/>
      <c r="CE130" s="1087"/>
    </row>
    <row r="131" spans="1:83" s="1775" customFormat="1" ht="11.25" hidden="1" customHeight="1">
      <c r="A131" s="1719"/>
      <c r="B131" s="1563"/>
      <c r="C131" s="1563"/>
      <c r="D131" s="3115"/>
      <c r="E131" s="572"/>
      <c r="F131" s="572">
        <v>0</v>
      </c>
      <c r="G131" s="572"/>
      <c r="H131" s="572"/>
      <c r="I131" s="572"/>
      <c r="J131" s="572"/>
      <c r="K131" s="572"/>
      <c r="L131" s="572"/>
      <c r="M131" s="572"/>
      <c r="N131" s="572"/>
      <c r="O131" s="572"/>
      <c r="P131" s="572"/>
      <c r="Q131" s="572"/>
      <c r="R131" s="572"/>
      <c r="S131" s="573"/>
      <c r="T131" s="655"/>
      <c r="U131" s="2900"/>
      <c r="V131" s="2900"/>
      <c r="W131" s="1563"/>
      <c r="X131" s="1563"/>
      <c r="Y131" s="1563"/>
      <c r="Z131" s="1563"/>
      <c r="AA131" s="1563"/>
      <c r="AB131" s="1087"/>
      <c r="AC131" s="2994"/>
      <c r="AD131" s="566"/>
      <c r="AE131" s="1087"/>
      <c r="AF131" s="1087"/>
      <c r="AG131" s="1563"/>
      <c r="AH131" s="1563"/>
      <c r="AI131" s="1563"/>
      <c r="AJ131" s="1563"/>
      <c r="AK131" s="1563"/>
      <c r="AL131" s="1563"/>
      <c r="AM131" s="1563"/>
      <c r="AN131" s="1563"/>
      <c r="AO131" s="1563"/>
      <c r="AP131" s="1563"/>
      <c r="AQ131" s="1563"/>
      <c r="AR131" s="1563"/>
      <c r="AS131" s="1563"/>
      <c r="AT131" s="1563"/>
      <c r="AU131" s="1563"/>
      <c r="AV131" s="1563"/>
      <c r="AW131" s="1563"/>
      <c r="AX131" s="1563"/>
      <c r="AY131" s="1563"/>
      <c r="AZ131" s="1563"/>
      <c r="BA131" s="1563"/>
      <c r="BB131" s="1563"/>
      <c r="BC131" s="1563"/>
      <c r="BD131" s="1563"/>
      <c r="BE131" s="1563"/>
      <c r="BF131" s="1563"/>
      <c r="BG131" s="1563"/>
      <c r="BH131" s="1563"/>
      <c r="BI131" s="1563"/>
      <c r="BJ131" s="1563"/>
      <c r="BK131" s="1563"/>
      <c r="BL131" s="1563"/>
      <c r="BM131" s="1563"/>
      <c r="BN131" s="1563"/>
      <c r="BO131" s="1563"/>
      <c r="BP131" s="1563"/>
      <c r="BQ131" s="1563"/>
      <c r="BR131" s="1563"/>
      <c r="BS131" s="1563"/>
      <c r="BT131" s="1563"/>
      <c r="BU131" s="1563"/>
      <c r="BV131" s="1563"/>
      <c r="BW131" s="1563"/>
      <c r="BX131" s="1563"/>
      <c r="BY131" s="1563"/>
      <c r="BZ131" s="1563"/>
      <c r="CA131" s="1563"/>
      <c r="CB131" s="1563"/>
      <c r="CC131" s="1563"/>
      <c r="CD131" s="1563"/>
      <c r="CE131" s="1563"/>
    </row>
    <row r="132" spans="1:83" s="1775" customFormat="1" ht="11.25" customHeight="1">
      <c r="A132" s="1732"/>
      <c r="B132" s="1087"/>
      <c r="C132" s="349"/>
      <c r="D132" s="3115"/>
      <c r="E132" s="586" t="s">
        <v>30</v>
      </c>
      <c r="F132" s="1095" t="s">
        <v>30</v>
      </c>
      <c r="G132" s="1095" t="s">
        <v>1978</v>
      </c>
      <c r="H132" s="588" t="s">
        <v>30</v>
      </c>
      <c r="I132" s="588"/>
      <c r="J132" s="588"/>
      <c r="K132" s="588"/>
      <c r="L132" s="588"/>
      <c r="M132" s="588"/>
      <c r="N132" s="588"/>
      <c r="O132" s="588"/>
      <c r="P132" s="588"/>
      <c r="Q132" s="588"/>
      <c r="R132" s="589"/>
      <c r="S132" s="590"/>
      <c r="T132" s="655"/>
      <c r="U132" s="2900"/>
      <c r="V132" s="2900"/>
      <c r="W132" s="1087"/>
      <c r="X132" s="1087"/>
      <c r="Y132" s="1087"/>
      <c r="Z132" s="1087"/>
      <c r="AA132" s="1563"/>
      <c r="AB132" s="1087"/>
      <c r="AC132" s="2994"/>
      <c r="AD132" s="566"/>
      <c r="AE132" s="1087"/>
      <c r="AF132" s="1087"/>
      <c r="AG132" s="1563"/>
      <c r="AH132" s="1563"/>
      <c r="AI132" s="1563"/>
      <c r="AJ132" s="1563"/>
      <c r="AK132" s="1563"/>
      <c r="AL132" s="1563"/>
      <c r="AM132" s="1563"/>
      <c r="AN132" s="1563"/>
      <c r="AO132" s="1563"/>
      <c r="AP132" s="1563"/>
      <c r="AQ132" s="1563"/>
      <c r="AR132" s="1563"/>
      <c r="AS132" s="1563"/>
      <c r="AT132" s="1563"/>
      <c r="AU132" s="1563"/>
      <c r="AV132" s="1563"/>
      <c r="AW132" s="1563"/>
      <c r="AX132" s="1563"/>
      <c r="AY132" s="1563"/>
      <c r="AZ132" s="1563"/>
      <c r="BA132" s="1563"/>
      <c r="BB132" s="1563"/>
      <c r="BC132" s="1563"/>
      <c r="BD132" s="1563"/>
      <c r="BE132" s="1563"/>
      <c r="BF132" s="1563"/>
      <c r="BG132" s="1563"/>
      <c r="BH132" s="1563"/>
      <c r="BI132" s="1563"/>
      <c r="BJ132" s="1563"/>
      <c r="BK132" s="1563"/>
      <c r="BL132" s="1563"/>
      <c r="BM132" s="1563"/>
      <c r="BN132" s="1563"/>
      <c r="BO132" s="1563"/>
      <c r="BP132" s="1563"/>
      <c r="BQ132" s="1563"/>
      <c r="BR132" s="1563"/>
      <c r="BS132" s="1563"/>
      <c r="BT132" s="1563"/>
      <c r="BU132" s="1563"/>
      <c r="BV132" s="1087"/>
      <c r="BW132" s="1087"/>
      <c r="BX132" s="1087"/>
      <c r="BY132" s="1087"/>
      <c r="BZ132" s="1087"/>
      <c r="CA132" s="1087"/>
      <c r="CB132" s="1087"/>
      <c r="CC132" s="1087"/>
      <c r="CD132" s="1087"/>
      <c r="CE132" s="1087"/>
    </row>
    <row r="133" spans="1:83" s="1243" customFormat="1" ht="5.25" hidden="1" customHeight="1">
      <c r="A133" s="1719"/>
      <c r="B133" s="1563"/>
      <c r="C133" s="1563"/>
      <c r="D133" s="3115"/>
      <c r="E133" s="969"/>
      <c r="F133" s="969"/>
      <c r="G133" s="969"/>
      <c r="H133" s="969"/>
      <c r="I133" s="969"/>
      <c r="J133" s="969"/>
      <c r="K133" s="969"/>
      <c r="L133" s="969"/>
      <c r="M133" s="969"/>
      <c r="N133" s="969"/>
      <c r="O133" s="969"/>
      <c r="P133" s="969"/>
      <c r="Q133" s="970"/>
      <c r="R133" s="971"/>
      <c r="S133" s="972"/>
      <c r="T133" s="654" t="s">
        <v>658</v>
      </c>
      <c r="U133" s="2900">
        <v>1</v>
      </c>
      <c r="V133" s="2900" t="s">
        <v>621</v>
      </c>
      <c r="W133" s="1563"/>
      <c r="X133" s="1563"/>
      <c r="Y133" s="1563"/>
      <c r="Z133" s="1563"/>
      <c r="AA133" s="1563"/>
      <c r="AB133" s="1563"/>
      <c r="AC133" s="967"/>
      <c r="AD133" s="968"/>
      <c r="AE133" s="1563"/>
      <c r="AF133" s="1563"/>
      <c r="AG133" s="1563"/>
      <c r="AH133" s="1563"/>
      <c r="AI133" s="1563"/>
      <c r="AJ133" s="1563"/>
      <c r="AK133" s="1563"/>
      <c r="AL133" s="1563"/>
      <c r="AM133" s="1563"/>
      <c r="AN133" s="1563"/>
      <c r="AO133" s="1563"/>
      <c r="AP133" s="1563"/>
      <c r="AQ133" s="1563"/>
      <c r="AR133" s="1563"/>
      <c r="AS133" s="1563"/>
      <c r="AT133" s="1563"/>
      <c r="AU133" s="1563"/>
      <c r="AV133" s="1563"/>
      <c r="AW133" s="1563"/>
      <c r="AX133" s="1563"/>
      <c r="AY133" s="1563"/>
      <c r="AZ133" s="1563"/>
      <c r="BA133" s="1563"/>
      <c r="BB133" s="1563"/>
      <c r="BC133" s="1563"/>
      <c r="BD133" s="1563"/>
      <c r="BE133" s="1563"/>
      <c r="BF133" s="1563"/>
      <c r="BG133" s="1563"/>
      <c r="BH133" s="1563"/>
      <c r="BI133" s="1563"/>
      <c r="BJ133" s="1563"/>
      <c r="BK133" s="1563"/>
      <c r="BL133" s="1563"/>
      <c r="BM133" s="1563"/>
      <c r="BN133" s="1563"/>
      <c r="BO133" s="1563"/>
      <c r="BP133" s="1563"/>
      <c r="BQ133" s="1563"/>
      <c r="BR133" s="1563"/>
      <c r="BS133" s="1563"/>
      <c r="BT133" s="1563"/>
      <c r="BU133" s="1563"/>
      <c r="BV133" s="1563"/>
      <c r="BW133" s="1563"/>
      <c r="BX133" s="1563"/>
      <c r="BY133" s="1563"/>
      <c r="BZ133" s="1563"/>
      <c r="CA133" s="1563"/>
      <c r="CB133" s="1563"/>
      <c r="CC133" s="1563"/>
      <c r="CD133" s="1563"/>
      <c r="CE133" s="1563"/>
    </row>
    <row r="134" spans="1:83" s="1243" customFormat="1" ht="5.25" hidden="1" customHeight="1">
      <c r="A134" s="1719"/>
      <c r="B134" s="1563"/>
      <c r="C134" s="1563"/>
      <c r="D134" s="3115"/>
      <c r="E134" s="572"/>
      <c r="F134" s="572"/>
      <c r="G134" s="572"/>
      <c r="H134" s="572"/>
      <c r="I134" s="572"/>
      <c r="J134" s="572"/>
      <c r="K134" s="572"/>
      <c r="L134" s="572"/>
      <c r="M134" s="572"/>
      <c r="N134" s="572"/>
      <c r="O134" s="572"/>
      <c r="P134" s="572"/>
      <c r="Q134" s="572"/>
      <c r="R134" s="572"/>
      <c r="S134" s="573"/>
      <c r="T134" s="655"/>
      <c r="U134" s="2900"/>
      <c r="V134" s="2900"/>
      <c r="W134" s="1563"/>
      <c r="X134" s="1563"/>
      <c r="Y134" s="1563"/>
      <c r="Z134" s="1563"/>
      <c r="AA134" s="1563"/>
      <c r="AB134" s="1563"/>
      <c r="AC134" s="967"/>
      <c r="AD134" s="968"/>
      <c r="AE134" s="1563"/>
      <c r="AF134" s="1563"/>
      <c r="AG134" s="1563"/>
      <c r="AH134" s="1563"/>
      <c r="AI134" s="1563"/>
      <c r="AJ134" s="1563"/>
      <c r="AK134" s="1563"/>
      <c r="AL134" s="1563"/>
      <c r="AM134" s="1563"/>
      <c r="AN134" s="1563"/>
      <c r="AO134" s="1563"/>
      <c r="AP134" s="1563"/>
      <c r="AQ134" s="1563"/>
      <c r="AR134" s="1563"/>
      <c r="AS134" s="1563"/>
      <c r="AT134" s="1563"/>
      <c r="AU134" s="1563"/>
      <c r="AV134" s="1563"/>
      <c r="AW134" s="1563"/>
      <c r="AX134" s="1563"/>
      <c r="AY134" s="1563"/>
      <c r="AZ134" s="1563"/>
      <c r="BA134" s="1563"/>
      <c r="BB134" s="1563"/>
      <c r="BC134" s="1563"/>
      <c r="BD134" s="1563"/>
      <c r="BE134" s="1563"/>
      <c r="BF134" s="1563"/>
      <c r="BG134" s="1563"/>
      <c r="BH134" s="1563"/>
      <c r="BI134" s="1563"/>
      <c r="BJ134" s="1563"/>
      <c r="BK134" s="1563"/>
      <c r="BL134" s="1563"/>
      <c r="BM134" s="1563"/>
      <c r="BN134" s="1563"/>
      <c r="BO134" s="1563"/>
      <c r="BP134" s="1563"/>
      <c r="BQ134" s="1563"/>
      <c r="BR134" s="1563"/>
      <c r="BS134" s="1563"/>
      <c r="BT134" s="1563"/>
      <c r="BU134" s="1563"/>
      <c r="BV134" s="1563"/>
      <c r="BW134" s="1563"/>
      <c r="BX134" s="1563"/>
      <c r="BY134" s="1563"/>
      <c r="BZ134" s="1563"/>
      <c r="CA134" s="1563"/>
      <c r="CB134" s="1563"/>
      <c r="CC134" s="1563"/>
      <c r="CD134" s="1563"/>
      <c r="CE134" s="1563"/>
    </row>
    <row r="135" spans="1:83" s="1243" customFormat="1" ht="5.25" hidden="1" customHeight="1">
      <c r="A135" s="1719"/>
      <c r="B135" s="1563"/>
      <c r="C135" s="1563"/>
      <c r="D135" s="3116"/>
      <c r="E135" s="973"/>
      <c r="F135" s="974"/>
      <c r="G135" s="974"/>
      <c r="H135" s="975"/>
      <c r="I135" s="975"/>
      <c r="J135" s="975"/>
      <c r="K135" s="975"/>
      <c r="L135" s="975"/>
      <c r="M135" s="975"/>
      <c r="N135" s="975"/>
      <c r="O135" s="975"/>
      <c r="P135" s="975"/>
      <c r="Q135" s="975"/>
      <c r="R135" s="876"/>
      <c r="S135" s="976"/>
      <c r="T135" s="655"/>
      <c r="U135" s="2900"/>
      <c r="V135" s="2900"/>
      <c r="W135" s="1563"/>
      <c r="X135" s="1563"/>
      <c r="Y135" s="1563"/>
      <c r="Z135" s="1563"/>
      <c r="AA135" s="1563"/>
      <c r="AB135" s="1563"/>
      <c r="AC135" s="967"/>
      <c r="AD135" s="968"/>
      <c r="AE135" s="1563"/>
      <c r="AF135" s="1563"/>
      <c r="AG135" s="1563"/>
      <c r="AH135" s="1563"/>
      <c r="AI135" s="1563"/>
      <c r="AJ135" s="1563"/>
      <c r="AK135" s="1563"/>
      <c r="AL135" s="1563"/>
      <c r="AM135" s="1563"/>
      <c r="AN135" s="1563"/>
      <c r="AO135" s="1563"/>
      <c r="AP135" s="1563"/>
      <c r="AQ135" s="1563"/>
      <c r="AR135" s="1563"/>
      <c r="AS135" s="1563"/>
      <c r="AT135" s="1563"/>
      <c r="AU135" s="1563"/>
      <c r="AV135" s="1563"/>
      <c r="AW135" s="1563"/>
      <c r="AX135" s="1563"/>
      <c r="AY135" s="1563"/>
      <c r="AZ135" s="1563"/>
      <c r="BA135" s="1563"/>
      <c r="BB135" s="1563"/>
      <c r="BC135" s="1563"/>
      <c r="BD135" s="1563"/>
      <c r="BE135" s="1563"/>
      <c r="BF135" s="1563"/>
      <c r="BG135" s="1563"/>
      <c r="BH135" s="1563"/>
      <c r="BI135" s="1563"/>
      <c r="BJ135" s="1563"/>
      <c r="BK135" s="1563"/>
      <c r="BL135" s="1563"/>
      <c r="BM135" s="1563"/>
      <c r="BN135" s="1563"/>
      <c r="BO135" s="1563"/>
      <c r="BP135" s="1563"/>
      <c r="BQ135" s="1563"/>
      <c r="BR135" s="1563"/>
      <c r="BS135" s="1563"/>
      <c r="BT135" s="1563"/>
      <c r="BU135" s="1563"/>
      <c r="BV135" s="1563"/>
      <c r="BW135" s="1563"/>
      <c r="BX135" s="1563"/>
      <c r="BY135" s="1563"/>
      <c r="BZ135" s="1563"/>
      <c r="CA135" s="1563"/>
      <c r="CB135" s="1563"/>
      <c r="CC135" s="1563"/>
      <c r="CD135" s="1563"/>
      <c r="CE135" s="1563"/>
    </row>
    <row r="136" spans="1:83" ht="17.25" customHeight="1">
      <c r="D136" s="1761"/>
    </row>
    <row r="137" spans="1:83" s="1741" customFormat="1" ht="11.25" customHeight="1">
      <c r="A137" s="1741" t="s">
        <v>1980</v>
      </c>
    </row>
    <row r="139" spans="1:83" s="1775" customFormat="1" ht="45" customHeight="1">
      <c r="A139" s="1732"/>
      <c r="B139" s="1087"/>
      <c r="C139" s="349"/>
      <c r="D139" s="29"/>
      <c r="E139" s="3119"/>
      <c r="F139" s="2769" t="s">
        <v>114</v>
      </c>
      <c r="G139" s="3122" t="s">
        <v>30</v>
      </c>
      <c r="H139" s="227"/>
      <c r="I139" s="574" t="s">
        <v>114</v>
      </c>
      <c r="J139" s="1733" t="s">
        <v>1981</v>
      </c>
      <c r="K139" s="575" t="s">
        <v>592</v>
      </c>
      <c r="L139" s="2863" t="s">
        <v>592</v>
      </c>
      <c r="M139" s="2817"/>
      <c r="N139" s="575" t="s">
        <v>592</v>
      </c>
      <c r="O139" s="575" t="s">
        <v>592</v>
      </c>
      <c r="P139" s="575" t="s">
        <v>592</v>
      </c>
      <c r="Q139" s="576">
        <f>SUM(Q140:Q142)</f>
        <v>0</v>
      </c>
      <c r="R139" s="576">
        <f>IF(R136=0,0,(Q136/R136)*100)</f>
        <v>0</v>
      </c>
      <c r="S139" s="2839"/>
      <c r="T139" s="654" t="s">
        <v>658</v>
      </c>
      <c r="U139" s="29"/>
      <c r="V139" s="29"/>
      <c r="AC139" s="29"/>
    </row>
    <row r="140" spans="1:83" s="1775" customFormat="1" ht="11.25" customHeight="1">
      <c r="A140" s="1732"/>
      <c r="B140" s="1087"/>
      <c r="C140" s="349"/>
      <c r="D140" s="29"/>
      <c r="E140" s="3120"/>
      <c r="F140" s="2769"/>
      <c r="G140" s="3122"/>
      <c r="H140" s="2758"/>
      <c r="I140" s="3050" t="s">
        <v>1067</v>
      </c>
      <c r="J140" s="3117"/>
      <c r="K140" s="3118"/>
      <c r="L140" s="577"/>
      <c r="M140" s="578" t="s">
        <v>114</v>
      </c>
      <c r="N140" s="1721"/>
      <c r="O140" s="579"/>
      <c r="P140" s="580"/>
      <c r="Q140" s="579"/>
      <c r="R140" s="581">
        <v>0</v>
      </c>
      <c r="S140" s="2839"/>
      <c r="T140" s="654"/>
      <c r="U140" s="29"/>
      <c r="V140" s="29"/>
      <c r="AC140" s="29"/>
    </row>
    <row r="141" spans="1:83" s="1775" customFormat="1" ht="11.25" customHeight="1">
      <c r="A141" s="1732"/>
      <c r="B141" s="1087"/>
      <c r="C141" s="349"/>
      <c r="D141" s="29"/>
      <c r="E141" s="3120"/>
      <c r="F141" s="2769"/>
      <c r="G141" s="3122"/>
      <c r="H141" s="2758"/>
      <c r="I141" s="3050"/>
      <c r="J141" s="3117"/>
      <c r="K141" s="3113"/>
      <c r="L141" s="582"/>
      <c r="M141" s="583"/>
      <c r="N141" s="584" t="s">
        <v>1982</v>
      </c>
      <c r="O141" s="584"/>
      <c r="P141" s="584"/>
      <c r="Q141" s="584"/>
      <c r="R141" s="585"/>
      <c r="S141" s="2839"/>
      <c r="T141" s="654"/>
      <c r="U141" s="29"/>
      <c r="V141" s="29"/>
      <c r="AC141" s="29"/>
    </row>
    <row r="142" spans="1:83" s="1775" customFormat="1" ht="11.25" customHeight="1">
      <c r="A142" s="1732"/>
      <c r="B142" s="1087"/>
      <c r="C142" s="349"/>
      <c r="D142" s="29"/>
      <c r="E142" s="3121"/>
      <c r="F142" s="2769"/>
      <c r="G142" s="3123"/>
      <c r="H142" s="582" t="s">
        <v>30</v>
      </c>
      <c r="I142" s="583"/>
      <c r="J142" s="584" t="s">
        <v>1983</v>
      </c>
      <c r="K142" s="584"/>
      <c r="L142" s="584"/>
      <c r="M142" s="584"/>
      <c r="N142" s="584"/>
      <c r="O142" s="584"/>
      <c r="P142" s="584"/>
      <c r="Q142" s="584"/>
      <c r="R142" s="585"/>
      <c r="S142" s="2839"/>
      <c r="T142" s="654"/>
      <c r="U142" s="29"/>
      <c r="V142" s="29"/>
      <c r="AC142" s="29"/>
    </row>
    <row r="147" spans="1:43" s="1775" customFormat="1" ht="11.25" customHeight="1">
      <c r="A147" s="1732"/>
      <c r="B147" s="1087"/>
      <c r="C147" s="349"/>
      <c r="D147" s="29"/>
      <c r="E147" s="1755"/>
      <c r="F147" s="1755"/>
      <c r="G147" s="1755"/>
      <c r="H147" s="2758"/>
      <c r="I147" s="3050" t="s">
        <v>1067</v>
      </c>
      <c r="J147" s="3117"/>
      <c r="K147" s="3118"/>
      <c r="L147" s="577"/>
      <c r="M147" s="578" t="s">
        <v>114</v>
      </c>
      <c r="N147" s="1721"/>
      <c r="O147" s="579"/>
      <c r="P147" s="580"/>
      <c r="Q147" s="579"/>
      <c r="R147" s="581">
        <v>0</v>
      </c>
      <c r="S147" s="29"/>
      <c r="T147" s="654"/>
      <c r="U147" s="29"/>
      <c r="V147" s="29"/>
      <c r="AC147" s="29"/>
    </row>
    <row r="148" spans="1:43" s="1775" customFormat="1" ht="11.25" customHeight="1">
      <c r="A148" s="1732"/>
      <c r="B148" s="1087"/>
      <c r="C148" s="349"/>
      <c r="D148" s="29"/>
      <c r="E148" s="1755"/>
      <c r="F148" s="1755"/>
      <c r="G148" s="1755"/>
      <c r="H148" s="2758"/>
      <c r="I148" s="3050"/>
      <c r="J148" s="3117"/>
      <c r="K148" s="3113"/>
      <c r="L148" s="582"/>
      <c r="M148" s="583"/>
      <c r="N148" s="584" t="s">
        <v>1982</v>
      </c>
      <c r="O148" s="584"/>
      <c r="P148" s="584"/>
      <c r="Q148" s="584"/>
      <c r="R148" s="585"/>
      <c r="S148" s="29"/>
      <c r="T148" s="654"/>
      <c r="U148" s="29"/>
      <c r="V148" s="29"/>
      <c r="AC148" s="29"/>
    </row>
    <row r="150" spans="1:43" s="1775" customFormat="1" ht="11.25" customHeight="1">
      <c r="A150" s="1732"/>
      <c r="B150" s="1087"/>
      <c r="C150" s="349"/>
      <c r="D150" s="29"/>
      <c r="E150" s="1762"/>
      <c r="F150" s="1760"/>
      <c r="G150" s="1760"/>
      <c r="H150" s="1763"/>
      <c r="I150" s="1755"/>
      <c r="J150" s="1756"/>
      <c r="K150" s="1756"/>
      <c r="L150" s="577"/>
      <c r="M150" s="578" t="s">
        <v>114</v>
      </c>
      <c r="N150" s="1721"/>
      <c r="O150" s="579"/>
      <c r="P150" s="580"/>
      <c r="Q150" s="579"/>
      <c r="R150" s="581">
        <v>0</v>
      </c>
      <c r="S150" s="29"/>
      <c r="T150" s="654"/>
      <c r="U150" s="29"/>
      <c r="V150" s="29"/>
      <c r="AC150" s="29"/>
    </row>
    <row r="152" spans="1:43" s="1741" customFormat="1" ht="17.25" customHeight="1">
      <c r="A152" s="1741" t="s">
        <v>1984</v>
      </c>
    </row>
    <row r="153" spans="1:43" ht="17.25" customHeight="1">
      <c r="G153" s="1764"/>
      <c r="H153" s="1764"/>
      <c r="I153" s="1764"/>
      <c r="M153" s="1760"/>
    </row>
    <row r="154" spans="1:43" s="1778" customFormat="1" ht="17.25" customHeight="1">
      <c r="A154" s="1765"/>
      <c r="C154" s="1767"/>
      <c r="D154" s="2827"/>
      <c r="E154" s="2780"/>
      <c r="F154" s="2793"/>
      <c r="G154" s="2818"/>
      <c r="H154" s="2827"/>
      <c r="I154" s="2827">
        <v>1</v>
      </c>
      <c r="J154" s="2825"/>
      <c r="K154" s="2821" t="s">
        <v>71</v>
      </c>
      <c r="L154" s="2769"/>
      <c r="M154" s="2769" t="s">
        <v>114</v>
      </c>
      <c r="N154" s="3124" t="str">
        <f>IF(Z154="","",INDEX(TERRITORY_MR_LIST,MATCH(Z154,TERRITORY_LIST_ID,0)))</f>
        <v/>
      </c>
      <c r="O154" s="2821" t="s">
        <v>71</v>
      </c>
      <c r="P154" s="2769"/>
      <c r="Q154" s="2769" t="s">
        <v>114</v>
      </c>
      <c r="R154" s="3113" t="s">
        <v>30</v>
      </c>
      <c r="S154" s="2768" t="s">
        <v>71</v>
      </c>
      <c r="T154" s="1737"/>
      <c r="U154" s="1737" t="s">
        <v>114</v>
      </c>
      <c r="V154" s="1768" t="s">
        <v>30</v>
      </c>
      <c r="W154" s="1727"/>
      <c r="Y154" s="1194"/>
      <c r="Z154" s="1194"/>
      <c r="AA154" s="1194"/>
      <c r="AB154" s="1194"/>
      <c r="AC154" s="1194"/>
      <c r="AD154" s="1194"/>
      <c r="AE154" s="1194"/>
      <c r="AF154" s="1194"/>
      <c r="AG154" s="1194"/>
      <c r="AH154" s="1194"/>
      <c r="AI154" s="1194"/>
      <c r="AJ154" s="1194"/>
      <c r="AK154" s="1194"/>
      <c r="AL154" s="1769"/>
      <c r="AM154" s="1769"/>
      <c r="AN154" s="1194"/>
      <c r="AO154" s="1194"/>
      <c r="AP154" s="1194"/>
      <c r="AQ154" s="1194"/>
    </row>
    <row r="155" spans="1:43" s="1778" customFormat="1" ht="17.25" customHeight="1">
      <c r="A155" s="1765"/>
      <c r="C155" s="1770"/>
      <c r="D155" s="2827"/>
      <c r="E155" s="2780"/>
      <c r="F155" s="2794"/>
      <c r="G155" s="2818"/>
      <c r="H155" s="2827"/>
      <c r="I155" s="2827"/>
      <c r="J155" s="2825"/>
      <c r="K155" s="2822"/>
      <c r="L155" s="2769"/>
      <c r="M155" s="2769"/>
      <c r="N155" s="3124"/>
      <c r="O155" s="2822"/>
      <c r="P155" s="2769"/>
      <c r="Q155" s="2769"/>
      <c r="R155" s="3113"/>
      <c r="S155" s="2768"/>
      <c r="T155" s="255"/>
      <c r="U155" s="256"/>
      <c r="V155" s="256" t="s">
        <v>174</v>
      </c>
      <c r="W155" s="257"/>
      <c r="Y155" s="1186"/>
      <c r="Z155" s="1186"/>
      <c r="AA155" s="1186"/>
      <c r="AB155" s="1186"/>
      <c r="AC155" s="1186"/>
      <c r="AD155" s="1186"/>
      <c r="AE155" s="1186"/>
      <c r="AF155" s="1186"/>
      <c r="AG155" s="1186"/>
      <c r="AH155" s="1186"/>
      <c r="AI155" s="1186"/>
      <c r="AJ155" s="1186"/>
      <c r="AK155" s="1186"/>
    </row>
    <row r="156" spans="1:43" s="1778" customFormat="1" ht="17.25" customHeight="1">
      <c r="A156" s="1765"/>
      <c r="C156" s="1770"/>
      <c r="D156" s="2792"/>
      <c r="E156" s="2781"/>
      <c r="F156" s="2794"/>
      <c r="G156" s="2819"/>
      <c r="H156" s="2792"/>
      <c r="I156" s="2792"/>
      <c r="J156" s="2826"/>
      <c r="K156" s="2822"/>
      <c r="L156" s="2792"/>
      <c r="M156" s="2792"/>
      <c r="N156" s="3125"/>
      <c r="O156" s="2773"/>
      <c r="P156" s="255"/>
      <c r="Q156" s="256"/>
      <c r="R156" s="256" t="s">
        <v>176</v>
      </c>
      <c r="S156" s="1771"/>
      <c r="T156" s="1771"/>
      <c r="U156" s="1771"/>
      <c r="V156" s="1771"/>
      <c r="W156" s="257"/>
      <c r="Y156" s="1186"/>
      <c r="Z156" s="1186"/>
      <c r="AA156" s="1186"/>
      <c r="AB156" s="1186"/>
      <c r="AC156" s="1186"/>
      <c r="AD156" s="1186"/>
      <c r="AE156" s="1186"/>
      <c r="AF156" s="1186"/>
      <c r="AG156" s="1186"/>
      <c r="AH156" s="1186"/>
      <c r="AI156" s="1186"/>
      <c r="AJ156" s="1186"/>
      <c r="AK156" s="1186"/>
    </row>
    <row r="157" spans="1:43" s="1778" customFormat="1" ht="17.25" customHeight="1">
      <c r="A157" s="1765"/>
      <c r="C157" s="1770"/>
      <c r="D157" s="2792"/>
      <c r="E157" s="2781"/>
      <c r="F157" s="2794"/>
      <c r="G157" s="2819"/>
      <c r="H157" s="2792"/>
      <c r="I157" s="2792"/>
      <c r="J157" s="2826"/>
      <c r="K157" s="2773"/>
      <c r="L157" s="255"/>
      <c r="M157" s="256"/>
      <c r="N157" s="256" t="s">
        <v>178</v>
      </c>
      <c r="O157" s="256"/>
      <c r="P157" s="256"/>
      <c r="Q157" s="256"/>
      <c r="R157" s="256"/>
      <c r="S157" s="1771"/>
      <c r="T157" s="1771"/>
      <c r="U157" s="1771"/>
      <c r="V157" s="1771"/>
      <c r="W157" s="257"/>
      <c r="Y157" s="1186"/>
      <c r="Z157" s="1186"/>
      <c r="AA157" s="1186"/>
      <c r="AB157" s="1186"/>
      <c r="AC157" s="1186"/>
      <c r="AD157" s="1186"/>
      <c r="AE157" s="1186"/>
      <c r="AF157" s="1186"/>
      <c r="AG157" s="1186"/>
      <c r="AH157" s="1186"/>
      <c r="AI157" s="1186"/>
      <c r="AJ157" s="1186"/>
      <c r="AK157" s="1186"/>
    </row>
    <row r="158" spans="1:43" s="1778" customFormat="1" ht="17.25" customHeight="1">
      <c r="A158" s="1765"/>
      <c r="C158" s="1770"/>
      <c r="D158" s="2792"/>
      <c r="E158" s="2781"/>
      <c r="F158" s="2795"/>
      <c r="G158" s="2819"/>
      <c r="H158" s="255"/>
      <c r="I158" s="256"/>
      <c r="J158" s="256" t="s">
        <v>212</v>
      </c>
      <c r="K158" s="256"/>
      <c r="L158" s="256"/>
      <c r="M158" s="256"/>
      <c r="N158" s="256"/>
      <c r="O158" s="256"/>
      <c r="P158" s="256"/>
      <c r="Q158" s="256"/>
      <c r="R158" s="256"/>
      <c r="S158" s="1771"/>
      <c r="T158" s="1771"/>
      <c r="U158" s="1771"/>
      <c r="V158" s="1771"/>
      <c r="W158" s="257"/>
      <c r="Y158" s="1186"/>
      <c r="Z158" s="1186"/>
      <c r="AA158" s="1186"/>
      <c r="AB158" s="1186"/>
      <c r="AC158" s="1186"/>
      <c r="AD158" s="1186"/>
      <c r="AE158" s="1186"/>
      <c r="AF158" s="1186"/>
      <c r="AG158" s="1186"/>
      <c r="AH158" s="1186"/>
      <c r="AI158" s="1186"/>
      <c r="AJ158" s="1186"/>
      <c r="AK158" s="1186"/>
    </row>
    <row r="159" spans="1:43" ht="17.25" customHeight="1">
      <c r="G159" s="1764"/>
      <c r="H159" s="1764"/>
      <c r="I159" s="1764"/>
      <c r="M159" s="1760"/>
    </row>
    <row r="160" spans="1:43" s="1778" customFormat="1" ht="17.25" customHeight="1">
      <c r="A160" s="1765"/>
      <c r="C160" s="1767"/>
      <c r="D160" s="1755"/>
      <c r="E160" s="1772"/>
      <c r="F160" s="1710"/>
      <c r="G160" s="1773"/>
      <c r="H160" s="2827"/>
      <c r="I160" s="2827">
        <v>1</v>
      </c>
      <c r="J160" s="2825"/>
      <c r="K160" s="2821" t="s">
        <v>71</v>
      </c>
      <c r="L160" s="2769"/>
      <c r="M160" s="2769" t="s">
        <v>114</v>
      </c>
      <c r="N160" s="3124" t="str">
        <f>IF(Z160="","",INDEX(TERRITORY_MR_LIST,MATCH(Z160,TERRITORY_LIST_ID,0)))</f>
        <v/>
      </c>
      <c r="O160" s="2821" t="s">
        <v>71</v>
      </c>
      <c r="P160" s="2769"/>
      <c r="Q160" s="2769" t="s">
        <v>114</v>
      </c>
      <c r="R160" s="3113" t="s">
        <v>30</v>
      </c>
      <c r="S160" s="2768" t="s">
        <v>71</v>
      </c>
      <c r="T160" s="1737"/>
      <c r="U160" s="1737" t="s">
        <v>114</v>
      </c>
      <c r="V160" s="1768" t="s">
        <v>30</v>
      </c>
      <c r="W160" s="1727"/>
      <c r="Y160" s="1194"/>
      <c r="Z160" s="1194"/>
      <c r="AA160" s="1194"/>
      <c r="AB160" s="1194"/>
      <c r="AC160" s="1194"/>
      <c r="AD160" s="1194"/>
      <c r="AE160" s="1194"/>
      <c r="AF160" s="1194"/>
      <c r="AG160" s="1194"/>
      <c r="AH160" s="1194"/>
      <c r="AI160" s="1194"/>
      <c r="AJ160" s="1194"/>
      <c r="AK160" s="1194"/>
      <c r="AL160" s="1769"/>
      <c r="AM160" s="1769"/>
      <c r="AN160" s="1194"/>
      <c r="AO160" s="1194"/>
      <c r="AP160" s="1194"/>
      <c r="AQ160" s="1194"/>
    </row>
    <row r="161" spans="1:43" s="1778" customFormat="1" ht="17.25" customHeight="1">
      <c r="A161" s="1765"/>
      <c r="C161" s="1770"/>
      <c r="D161" s="1755"/>
      <c r="E161" s="1772"/>
      <c r="F161" s="1710"/>
      <c r="G161" s="1773"/>
      <c r="H161" s="2827"/>
      <c r="I161" s="2827"/>
      <c r="J161" s="2825"/>
      <c r="K161" s="2822"/>
      <c r="L161" s="2769"/>
      <c r="M161" s="2769"/>
      <c r="N161" s="3124"/>
      <c r="O161" s="2822"/>
      <c r="P161" s="2769"/>
      <c r="Q161" s="2769"/>
      <c r="R161" s="3113"/>
      <c r="S161" s="2768"/>
      <c r="T161" s="255"/>
      <c r="U161" s="256"/>
      <c r="V161" s="256" t="s">
        <v>174</v>
      </c>
      <c r="W161" s="257"/>
      <c r="Y161" s="1186"/>
      <c r="Z161" s="1186"/>
      <c r="AA161" s="1186"/>
      <c r="AB161" s="1186"/>
      <c r="AC161" s="1186"/>
      <c r="AD161" s="1186"/>
      <c r="AE161" s="1186"/>
      <c r="AF161" s="1186"/>
      <c r="AG161" s="1186"/>
      <c r="AH161" s="1186"/>
      <c r="AI161" s="1186"/>
      <c r="AJ161" s="1186"/>
      <c r="AK161" s="1186"/>
    </row>
    <row r="162" spans="1:43" s="1778" customFormat="1" ht="17.25" customHeight="1">
      <c r="A162" s="1765"/>
      <c r="C162" s="1770"/>
      <c r="D162" s="1755"/>
      <c r="E162" s="1772"/>
      <c r="F162" s="1710"/>
      <c r="G162" s="1773"/>
      <c r="H162" s="2792"/>
      <c r="I162" s="2792"/>
      <c r="J162" s="2826"/>
      <c r="K162" s="2822"/>
      <c r="L162" s="2792"/>
      <c r="M162" s="2792"/>
      <c r="N162" s="3125"/>
      <c r="O162" s="2773"/>
      <c r="P162" s="255"/>
      <c r="Q162" s="256"/>
      <c r="R162" s="256" t="s">
        <v>176</v>
      </c>
      <c r="S162" s="1771"/>
      <c r="T162" s="1771"/>
      <c r="U162" s="1771"/>
      <c r="V162" s="1771"/>
      <c r="W162" s="257"/>
      <c r="Y162" s="1186"/>
      <c r="Z162" s="1186"/>
      <c r="AA162" s="1186"/>
      <c r="AB162" s="1186"/>
      <c r="AC162" s="1186"/>
      <c r="AD162" s="1186"/>
      <c r="AE162" s="1186"/>
      <c r="AF162" s="1186"/>
      <c r="AG162" s="1186"/>
      <c r="AH162" s="1186"/>
      <c r="AI162" s="1186"/>
      <c r="AJ162" s="1186"/>
      <c r="AK162" s="1186"/>
    </row>
    <row r="163" spans="1:43" s="1778" customFormat="1" ht="17.25" customHeight="1">
      <c r="A163" s="1765"/>
      <c r="C163" s="1770"/>
      <c r="D163" s="1755"/>
      <c r="E163" s="1772"/>
      <c r="F163" s="1710"/>
      <c r="G163" s="1773"/>
      <c r="H163" s="2792"/>
      <c r="I163" s="2792"/>
      <c r="J163" s="2826"/>
      <c r="K163" s="2773"/>
      <c r="L163" s="255"/>
      <c r="M163" s="256"/>
      <c r="N163" s="256" t="s">
        <v>178</v>
      </c>
      <c r="O163" s="256"/>
      <c r="P163" s="256"/>
      <c r="Q163" s="256"/>
      <c r="R163" s="256"/>
      <c r="S163" s="1771"/>
      <c r="T163" s="1771"/>
      <c r="U163" s="1771"/>
      <c r="V163" s="1771"/>
      <c r="W163" s="257"/>
      <c r="Y163" s="1186"/>
      <c r="Z163" s="1186"/>
      <c r="AA163" s="1186"/>
      <c r="AB163" s="1186"/>
      <c r="AC163" s="1186"/>
      <c r="AD163" s="1186"/>
      <c r="AE163" s="1186"/>
      <c r="AF163" s="1186"/>
      <c r="AG163" s="1186"/>
      <c r="AH163" s="1186"/>
      <c r="AI163" s="1186"/>
      <c r="AJ163" s="1186"/>
      <c r="AK163" s="1186"/>
    </row>
    <row r="164" spans="1:43" ht="17.25" customHeight="1">
      <c r="G164" s="1764"/>
      <c r="H164" s="1764"/>
      <c r="I164" s="1764"/>
      <c r="M164" s="1760"/>
    </row>
    <row r="165" spans="1:43" s="1778" customFormat="1" ht="17.25" customHeight="1">
      <c r="A165" s="1765"/>
      <c r="C165" s="1767"/>
      <c r="D165" s="1755"/>
      <c r="E165" s="1772"/>
      <c r="F165" s="1710"/>
      <c r="G165" s="1773"/>
      <c r="H165" s="1755"/>
      <c r="I165" s="1755"/>
      <c r="J165" s="1774"/>
      <c r="K165" s="1686"/>
      <c r="L165" s="2769"/>
      <c r="M165" s="2769" t="s">
        <v>114</v>
      </c>
      <c r="N165" s="3124" t="str">
        <f>IF(Z165="","",INDEX(TERRITORY_MR_LIST,MATCH(Z165,TERRITORY_LIST_ID,0)))</f>
        <v/>
      </c>
      <c r="O165" s="2821" t="s">
        <v>71</v>
      </c>
      <c r="P165" s="2769"/>
      <c r="Q165" s="2769" t="s">
        <v>114</v>
      </c>
      <c r="R165" s="3113" t="s">
        <v>30</v>
      </c>
      <c r="S165" s="2768" t="s">
        <v>71</v>
      </c>
      <c r="T165" s="1737"/>
      <c r="U165" s="1737" t="s">
        <v>114</v>
      </c>
      <c r="V165" s="1768" t="s">
        <v>30</v>
      </c>
      <c r="W165" s="1727"/>
      <c r="Y165" s="1194"/>
      <c r="Z165" s="1194"/>
      <c r="AA165" s="1194"/>
      <c r="AB165" s="1194"/>
      <c r="AC165" s="1194"/>
      <c r="AD165" s="1194"/>
      <c r="AE165" s="1194"/>
      <c r="AF165" s="1194"/>
      <c r="AG165" s="1194"/>
      <c r="AH165" s="1194"/>
      <c r="AI165" s="1194"/>
      <c r="AJ165" s="1194"/>
      <c r="AK165" s="1194"/>
      <c r="AL165" s="1769"/>
      <c r="AM165" s="1769"/>
      <c r="AN165" s="1194"/>
      <c r="AO165" s="1194"/>
      <c r="AP165" s="1194"/>
      <c r="AQ165" s="1194"/>
    </row>
    <row r="166" spans="1:43" s="1778" customFormat="1" ht="17.25" customHeight="1">
      <c r="A166" s="1765"/>
      <c r="C166" s="1770"/>
      <c r="D166" s="1755"/>
      <c r="E166" s="1772"/>
      <c r="F166" s="1710"/>
      <c r="G166" s="1773"/>
      <c r="H166" s="1755"/>
      <c r="I166" s="1755"/>
      <c r="J166" s="1774"/>
      <c r="K166" s="1686"/>
      <c r="L166" s="2769"/>
      <c r="M166" s="2769"/>
      <c r="N166" s="3124"/>
      <c r="O166" s="2822"/>
      <c r="P166" s="2769"/>
      <c r="Q166" s="2769"/>
      <c r="R166" s="3113"/>
      <c r="S166" s="2768"/>
      <c r="T166" s="255"/>
      <c r="U166" s="256"/>
      <c r="V166" s="256" t="s">
        <v>174</v>
      </c>
      <c r="W166" s="257"/>
      <c r="Y166" s="1186"/>
      <c r="Z166" s="1186"/>
      <c r="AA166" s="1186"/>
      <c r="AB166" s="1186"/>
      <c r="AC166" s="1186"/>
      <c r="AD166" s="1186"/>
      <c r="AE166" s="1186"/>
      <c r="AF166" s="1186"/>
      <c r="AG166" s="1186"/>
      <c r="AH166" s="1186"/>
      <c r="AI166" s="1186"/>
      <c r="AJ166" s="1186"/>
      <c r="AK166" s="1186"/>
    </row>
    <row r="167" spans="1:43" s="1778" customFormat="1" ht="17.25" customHeight="1">
      <c r="A167" s="1765"/>
      <c r="C167" s="1770"/>
      <c r="D167" s="1755"/>
      <c r="E167" s="1772"/>
      <c r="F167" s="1710"/>
      <c r="G167" s="1773"/>
      <c r="H167" s="1755"/>
      <c r="I167" s="1755"/>
      <c r="J167" s="1774"/>
      <c r="K167" s="1686"/>
      <c r="L167" s="2792"/>
      <c r="M167" s="2792"/>
      <c r="N167" s="3125"/>
      <c r="O167" s="2773"/>
      <c r="P167" s="255"/>
      <c r="Q167" s="256"/>
      <c r="R167" s="256" t="s">
        <v>176</v>
      </c>
      <c r="S167" s="1771"/>
      <c r="T167" s="1771"/>
      <c r="U167" s="1771"/>
      <c r="V167" s="1771"/>
      <c r="W167" s="257"/>
      <c r="Y167" s="1186"/>
      <c r="Z167" s="1186"/>
      <c r="AA167" s="1186"/>
      <c r="AB167" s="1186"/>
      <c r="AC167" s="1186"/>
      <c r="AD167" s="1186"/>
      <c r="AE167" s="1186"/>
      <c r="AF167" s="1186"/>
      <c r="AG167" s="1186"/>
      <c r="AH167" s="1186"/>
      <c r="AI167" s="1186"/>
      <c r="AJ167" s="1186"/>
      <c r="AK167" s="1186"/>
    </row>
    <row r="168" spans="1:43" ht="17.25" customHeight="1">
      <c r="G168" s="1764"/>
      <c r="H168" s="1764"/>
      <c r="I168" s="1764"/>
      <c r="M168" s="1760"/>
    </row>
    <row r="169" spans="1:43" s="1778" customFormat="1" ht="17.25" customHeight="1">
      <c r="A169" s="1765"/>
      <c r="C169" s="1767"/>
      <c r="D169" s="1755"/>
      <c r="E169" s="1772"/>
      <c r="F169" s="1710"/>
      <c r="G169" s="1773"/>
      <c r="H169" s="1755"/>
      <c r="I169" s="1755"/>
      <c r="J169" s="1774"/>
      <c r="K169" s="1686"/>
      <c r="L169" s="1682"/>
      <c r="M169" s="1682"/>
      <c r="N169" s="1970"/>
      <c r="O169" s="1713"/>
      <c r="P169" s="2769"/>
      <c r="Q169" s="2769" t="s">
        <v>114</v>
      </c>
      <c r="R169" s="3113" t="s">
        <v>30</v>
      </c>
      <c r="S169" s="2768" t="s">
        <v>71</v>
      </c>
      <c r="T169" s="1737"/>
      <c r="U169" s="1737" t="s">
        <v>114</v>
      </c>
      <c r="V169" s="1768" t="s">
        <v>30</v>
      </c>
      <c r="W169" s="1727"/>
      <c r="Y169" s="1194"/>
      <c r="Z169" s="1194"/>
      <c r="AA169" s="1194"/>
      <c r="AB169" s="1194"/>
      <c r="AC169" s="1194"/>
      <c r="AD169" s="1194"/>
      <c r="AE169" s="1194"/>
      <c r="AF169" s="1194"/>
      <c r="AG169" s="1194"/>
      <c r="AH169" s="1194"/>
      <c r="AI169" s="1194"/>
      <c r="AJ169" s="1194"/>
      <c r="AK169" s="1194"/>
      <c r="AL169" s="1769"/>
      <c r="AM169" s="1769"/>
      <c r="AN169" s="1194"/>
      <c r="AO169" s="1194"/>
      <c r="AP169" s="1194"/>
      <c r="AQ169" s="1194"/>
    </row>
    <row r="170" spans="1:43" s="1778" customFormat="1" ht="17.25" customHeight="1">
      <c r="A170" s="1765"/>
      <c r="C170" s="1770"/>
      <c r="D170" s="1755"/>
      <c r="E170" s="1772"/>
      <c r="F170" s="1710"/>
      <c r="G170" s="1773"/>
      <c r="H170" s="1755"/>
      <c r="I170" s="1755"/>
      <c r="J170" s="1774"/>
      <c r="K170" s="1686"/>
      <c r="L170" s="1682"/>
      <c r="M170" s="1682"/>
      <c r="N170" s="1970"/>
      <c r="O170" s="1713"/>
      <c r="P170" s="2769"/>
      <c r="Q170" s="2769"/>
      <c r="R170" s="3113"/>
      <c r="S170" s="2768"/>
      <c r="T170" s="255"/>
      <c r="U170" s="256"/>
      <c r="V170" s="256" t="s">
        <v>174</v>
      </c>
      <c r="W170" s="257"/>
      <c r="Y170" s="1186"/>
      <c r="Z170" s="1186"/>
      <c r="AA170" s="1186"/>
      <c r="AB170" s="1186"/>
      <c r="AC170" s="1186"/>
      <c r="AD170" s="1186"/>
      <c r="AE170" s="1186"/>
      <c r="AF170" s="1186"/>
      <c r="AG170" s="1186"/>
      <c r="AH170" s="1186"/>
      <c r="AI170" s="1186"/>
      <c r="AJ170" s="1186"/>
      <c r="AK170" s="1186"/>
    </row>
    <row r="171" spans="1:43" ht="17.25" customHeight="1">
      <c r="G171" s="1764"/>
      <c r="H171" s="1764"/>
      <c r="I171" s="1764"/>
      <c r="M171" s="1760"/>
    </row>
    <row r="172" spans="1:43" s="1778" customFormat="1" ht="17.25" customHeight="1">
      <c r="A172" s="1765"/>
      <c r="C172" s="1767"/>
      <c r="D172" s="1755"/>
      <c r="E172" s="1772"/>
      <c r="F172" s="1710"/>
      <c r="G172" s="1773"/>
      <c r="H172" s="1682"/>
      <c r="I172" s="1682"/>
      <c r="J172" s="1683"/>
      <c r="K172" s="1773"/>
      <c r="L172" s="1682"/>
      <c r="M172" s="1682"/>
      <c r="N172" s="1773"/>
      <c r="O172" s="1773"/>
      <c r="P172" s="1682"/>
      <c r="Q172" s="1682"/>
      <c r="R172" s="1684"/>
      <c r="S172" s="1773"/>
      <c r="T172" s="1737"/>
      <c r="U172" s="1737" t="s">
        <v>114</v>
      </c>
      <c r="V172" s="1768" t="s">
        <v>30</v>
      </c>
      <c r="W172" s="1727"/>
      <c r="Y172" s="1194"/>
      <c r="Z172" s="1194"/>
      <c r="AA172" s="1194"/>
      <c r="AB172" s="1194"/>
      <c r="AC172" s="1194"/>
      <c r="AD172" s="1194"/>
      <c r="AE172" s="1194"/>
      <c r="AF172" s="1194"/>
      <c r="AG172" s="1194"/>
      <c r="AH172" s="1194"/>
      <c r="AI172" s="1194"/>
      <c r="AJ172" s="1194"/>
      <c r="AK172" s="1194"/>
      <c r="AL172" s="1769"/>
      <c r="AM172" s="1769"/>
      <c r="AN172" s="1194"/>
      <c r="AO172" s="1194"/>
      <c r="AP172" s="1194"/>
      <c r="AQ172" s="1194"/>
    </row>
    <row r="174" spans="1:43" s="1741" customFormat="1" ht="17.25" customHeight="1">
      <c r="A174" s="1741" t="s">
        <v>1985</v>
      </c>
    </row>
    <row r="175" spans="1:43" ht="17.25" customHeight="1">
      <c r="G175" s="1764"/>
      <c r="H175" s="1764"/>
      <c r="I175" s="1764"/>
      <c r="M175" s="1760"/>
    </row>
    <row r="176" spans="1:43" s="1778" customFormat="1" ht="17.25" customHeight="1">
      <c r="A176" s="1765"/>
      <c r="C176" s="1767"/>
      <c r="D176" s="2827"/>
      <c r="E176" s="2780"/>
      <c r="F176" s="2793"/>
      <c r="G176" s="2818"/>
      <c r="H176" s="2827"/>
      <c r="I176" s="2827">
        <v>1</v>
      </c>
      <c r="J176" s="2825"/>
      <c r="K176" s="2821" t="s">
        <v>71</v>
      </c>
      <c r="L176" s="2769"/>
      <c r="M176" s="2769" t="s">
        <v>114</v>
      </c>
      <c r="N176" s="3124" t="str">
        <f>IF(Z176="","",INDEX(TERRITORY_MR_LIST,MATCH(Z176,TERRITORY_LIST_ID,0)))</f>
        <v/>
      </c>
      <c r="O176" s="2821" t="s">
        <v>71</v>
      </c>
      <c r="P176" s="2769"/>
      <c r="Q176" s="2769" t="s">
        <v>114</v>
      </c>
      <c r="R176" s="3113" t="s">
        <v>30</v>
      </c>
      <c r="S176" s="3013" t="s">
        <v>19</v>
      </c>
      <c r="T176" s="1728"/>
      <c r="U176" s="1728" t="s">
        <v>114</v>
      </c>
      <c r="V176" s="1361"/>
      <c r="W176" s="2825"/>
      <c r="Y176" s="1194"/>
      <c r="Z176" s="1194"/>
      <c r="AA176" s="1194"/>
      <c r="AB176" s="1194"/>
      <c r="AC176" s="1194"/>
      <c r="AD176" s="1194"/>
      <c r="AE176" s="1194"/>
      <c r="AF176" s="1194"/>
      <c r="AG176" s="1194"/>
      <c r="AH176" s="1194"/>
      <c r="AI176" s="1194"/>
      <c r="AJ176" s="1194"/>
      <c r="AK176" s="1194"/>
      <c r="AL176" s="1769"/>
      <c r="AM176" s="1769"/>
      <c r="AN176" s="1194"/>
      <c r="AO176" s="1194"/>
      <c r="AP176" s="1194"/>
      <c r="AQ176" s="1194"/>
    </row>
    <row r="177" spans="1:43" s="1778" customFormat="1" ht="17.25" customHeight="1">
      <c r="A177" s="1765"/>
      <c r="C177" s="1770"/>
      <c r="D177" s="2827"/>
      <c r="E177" s="2780"/>
      <c r="F177" s="2794"/>
      <c r="G177" s="2818"/>
      <c r="H177" s="2827"/>
      <c r="I177" s="2827"/>
      <c r="J177" s="2825"/>
      <c r="K177" s="2822"/>
      <c r="L177" s="2769"/>
      <c r="M177" s="2769"/>
      <c r="N177" s="3124"/>
      <c r="O177" s="2822"/>
      <c r="P177" s="2769"/>
      <c r="Q177" s="2769"/>
      <c r="R177" s="3113"/>
      <c r="S177" s="3013"/>
      <c r="T177" s="1362"/>
      <c r="U177" s="1363"/>
      <c r="V177" s="1363"/>
      <c r="W177" s="2825"/>
      <c r="Y177" s="1186"/>
      <c r="Z177" s="1186"/>
      <c r="AA177" s="1186"/>
      <c r="AB177" s="1186"/>
      <c r="AC177" s="1186"/>
      <c r="AD177" s="1186"/>
      <c r="AE177" s="1186"/>
      <c r="AF177" s="1186"/>
      <c r="AG177" s="1186"/>
      <c r="AH177" s="1186"/>
      <c r="AI177" s="1186"/>
      <c r="AJ177" s="1186"/>
      <c r="AK177" s="1186"/>
    </row>
    <row r="178" spans="1:43" s="1778" customFormat="1" ht="17.25" customHeight="1">
      <c r="A178" s="1765"/>
      <c r="C178" s="1770"/>
      <c r="D178" s="2792"/>
      <c r="E178" s="2781"/>
      <c r="F178" s="2794"/>
      <c r="G178" s="2819"/>
      <c r="H178" s="2792"/>
      <c r="I178" s="2792"/>
      <c r="J178" s="2826"/>
      <c r="K178" s="2822"/>
      <c r="L178" s="2792"/>
      <c r="M178" s="2792"/>
      <c r="N178" s="3125"/>
      <c r="O178" s="2773"/>
      <c r="P178" s="255"/>
      <c r="Q178" s="256"/>
      <c r="R178" s="256" t="s">
        <v>176</v>
      </c>
      <c r="S178" s="1771"/>
      <c r="T178" s="1771"/>
      <c r="U178" s="1771"/>
      <c r="V178" s="1771"/>
      <c r="W178" s="1360"/>
      <c r="Y178" s="1186"/>
      <c r="Z178" s="1186"/>
      <c r="AA178" s="1186"/>
      <c r="AB178" s="1186"/>
      <c r="AC178" s="1186"/>
      <c r="AD178" s="1186"/>
      <c r="AE178" s="1186"/>
      <c r="AF178" s="1186"/>
      <c r="AG178" s="1186"/>
      <c r="AH178" s="1186"/>
      <c r="AI178" s="1186"/>
      <c r="AJ178" s="1186"/>
      <c r="AK178" s="1186"/>
    </row>
    <row r="179" spans="1:43" s="1778" customFormat="1" ht="17.25" customHeight="1">
      <c r="A179" s="1765"/>
      <c r="C179" s="1770"/>
      <c r="D179" s="2792"/>
      <c r="E179" s="2781"/>
      <c r="F179" s="2794"/>
      <c r="G179" s="2819"/>
      <c r="H179" s="2792"/>
      <c r="I179" s="2792"/>
      <c r="J179" s="2826"/>
      <c r="K179" s="2773"/>
      <c r="L179" s="255"/>
      <c r="M179" s="256"/>
      <c r="N179" s="256" t="s">
        <v>178</v>
      </c>
      <c r="O179" s="256"/>
      <c r="P179" s="256"/>
      <c r="Q179" s="256"/>
      <c r="R179" s="256"/>
      <c r="S179" s="1771"/>
      <c r="T179" s="1771"/>
      <c r="U179" s="1771"/>
      <c r="V179" s="1771"/>
      <c r="W179" s="257"/>
      <c r="Y179" s="1186"/>
      <c r="Z179" s="1186"/>
      <c r="AA179" s="1186"/>
      <c r="AB179" s="1186"/>
      <c r="AC179" s="1186"/>
      <c r="AD179" s="1186"/>
      <c r="AE179" s="1186"/>
      <c r="AF179" s="1186"/>
      <c r="AG179" s="1186"/>
      <c r="AH179" s="1186"/>
      <c r="AI179" s="1186"/>
      <c r="AJ179" s="1186"/>
      <c r="AK179" s="1186"/>
    </row>
    <row r="180" spans="1:43" s="1778" customFormat="1" ht="17.25" customHeight="1">
      <c r="A180" s="1765"/>
      <c r="C180" s="1770"/>
      <c r="D180" s="2792"/>
      <c r="E180" s="2781"/>
      <c r="F180" s="2795"/>
      <c r="G180" s="2819"/>
      <c r="H180" s="255"/>
      <c r="I180" s="256"/>
      <c r="J180" s="256" t="s">
        <v>212</v>
      </c>
      <c r="K180" s="256"/>
      <c r="L180" s="256"/>
      <c r="M180" s="256"/>
      <c r="N180" s="256"/>
      <c r="O180" s="256"/>
      <c r="P180" s="256"/>
      <c r="Q180" s="256"/>
      <c r="R180" s="256"/>
      <c r="S180" s="1771"/>
      <c r="T180" s="1771"/>
      <c r="U180" s="1771"/>
      <c r="V180" s="1771"/>
      <c r="W180" s="257"/>
      <c r="Y180" s="1186"/>
      <c r="Z180" s="1186"/>
      <c r="AA180" s="1186"/>
      <c r="AB180" s="1186"/>
      <c r="AC180" s="1186"/>
      <c r="AD180" s="1186"/>
      <c r="AE180" s="1186"/>
      <c r="AF180" s="1186"/>
      <c r="AG180" s="1186"/>
      <c r="AH180" s="1186"/>
      <c r="AI180" s="1186"/>
      <c r="AJ180" s="1186"/>
      <c r="AK180" s="1186"/>
    </row>
    <row r="181" spans="1:43" ht="17.25" customHeight="1"/>
    <row r="182" spans="1:43" s="1778" customFormat="1" ht="17.25" customHeight="1">
      <c r="A182" s="1765"/>
      <c r="C182" s="1767"/>
      <c r="D182" s="1755"/>
      <c r="E182" s="1772"/>
      <c r="F182" s="1710"/>
      <c r="G182" s="1773"/>
      <c r="H182" s="2827"/>
      <c r="I182" s="2827">
        <v>1</v>
      </c>
      <c r="J182" s="2825"/>
      <c r="K182" s="2821" t="s">
        <v>71</v>
      </c>
      <c r="L182" s="2769"/>
      <c r="M182" s="2769" t="s">
        <v>114</v>
      </c>
      <c r="N182" s="3124" t="str">
        <f>IF(Z182="","",INDEX(TERRITORY_MR_LIST,MATCH(Z182,TERRITORY_LIST_ID,0)))</f>
        <v/>
      </c>
      <c r="O182" s="2821" t="s">
        <v>71</v>
      </c>
      <c r="P182" s="2769"/>
      <c r="Q182" s="2769" t="s">
        <v>114</v>
      </c>
      <c r="R182" s="3113" t="s">
        <v>30</v>
      </c>
      <c r="S182" s="3013" t="s">
        <v>19</v>
      </c>
      <c r="T182" s="1728"/>
      <c r="U182" s="1728" t="s">
        <v>114</v>
      </c>
      <c r="V182" s="1361"/>
      <c r="W182" s="2825"/>
      <c r="Y182" s="1194"/>
      <c r="Z182" s="1194"/>
      <c r="AA182" s="1194"/>
      <c r="AB182" s="1194"/>
      <c r="AC182" s="1194"/>
      <c r="AD182" s="1194"/>
      <c r="AE182" s="1194"/>
      <c r="AF182" s="1194"/>
      <c r="AG182" s="1194"/>
      <c r="AH182" s="1194"/>
      <c r="AI182" s="1194"/>
      <c r="AJ182" s="1194"/>
      <c r="AK182" s="1194"/>
      <c r="AL182" s="1769"/>
      <c r="AM182" s="1769"/>
      <c r="AN182" s="1194"/>
      <c r="AO182" s="1194"/>
      <c r="AP182" s="1194"/>
      <c r="AQ182" s="1194"/>
    </row>
    <row r="183" spans="1:43" s="1778" customFormat="1" ht="17.25" customHeight="1">
      <c r="A183" s="1765"/>
      <c r="C183" s="1770"/>
      <c r="D183" s="1755"/>
      <c r="E183" s="1772"/>
      <c r="F183" s="1710"/>
      <c r="G183" s="1773"/>
      <c r="H183" s="2827"/>
      <c r="I183" s="2827"/>
      <c r="J183" s="2825"/>
      <c r="K183" s="2822"/>
      <c r="L183" s="2769"/>
      <c r="M183" s="2769"/>
      <c r="N183" s="3124"/>
      <c r="O183" s="2822"/>
      <c r="P183" s="2769"/>
      <c r="Q183" s="2769"/>
      <c r="R183" s="3113"/>
      <c r="S183" s="3013"/>
      <c r="T183" s="1362"/>
      <c r="U183" s="1363"/>
      <c r="V183" s="1363"/>
      <c r="W183" s="2825"/>
      <c r="Y183" s="1186"/>
      <c r="Z183" s="1186"/>
      <c r="AA183" s="1186"/>
      <c r="AB183" s="1186"/>
      <c r="AC183" s="1186"/>
      <c r="AD183" s="1186"/>
      <c r="AE183" s="1186"/>
      <c r="AF183" s="1186"/>
      <c r="AG183" s="1186"/>
      <c r="AH183" s="1186"/>
      <c r="AI183" s="1186"/>
      <c r="AJ183" s="1186"/>
      <c r="AK183" s="1186"/>
    </row>
    <row r="184" spans="1:43" s="1778" customFormat="1" ht="17.25" customHeight="1">
      <c r="A184" s="1765"/>
      <c r="C184" s="1770"/>
      <c r="D184" s="1755"/>
      <c r="E184" s="1772"/>
      <c r="F184" s="1710"/>
      <c r="G184" s="1773"/>
      <c r="H184" s="2792"/>
      <c r="I184" s="2792"/>
      <c r="J184" s="2826"/>
      <c r="K184" s="2822"/>
      <c r="L184" s="2792"/>
      <c r="M184" s="2792"/>
      <c r="N184" s="3125"/>
      <c r="O184" s="2773"/>
      <c r="P184" s="255"/>
      <c r="Q184" s="256"/>
      <c r="R184" s="256" t="s">
        <v>176</v>
      </c>
      <c r="S184" s="1771"/>
      <c r="T184" s="1771"/>
      <c r="U184" s="1771"/>
      <c r="V184" s="1771"/>
      <c r="W184" s="1360"/>
      <c r="Y184" s="1186"/>
      <c r="Z184" s="1186"/>
      <c r="AA184" s="1186"/>
      <c r="AB184" s="1186"/>
      <c r="AC184" s="1186"/>
      <c r="AD184" s="1186"/>
      <c r="AE184" s="1186"/>
      <c r="AF184" s="1186"/>
      <c r="AG184" s="1186"/>
      <c r="AH184" s="1186"/>
      <c r="AI184" s="1186"/>
      <c r="AJ184" s="1186"/>
      <c r="AK184" s="1186"/>
    </row>
    <row r="185" spans="1:43" s="1778" customFormat="1" ht="17.25" customHeight="1">
      <c r="A185" s="1765"/>
      <c r="C185" s="1770"/>
      <c r="D185" s="1755"/>
      <c r="E185" s="1772"/>
      <c r="F185" s="1710"/>
      <c r="G185" s="1773"/>
      <c r="H185" s="2792"/>
      <c r="I185" s="2792"/>
      <c r="J185" s="2826"/>
      <c r="K185" s="2773"/>
      <c r="L185" s="255"/>
      <c r="M185" s="256"/>
      <c r="N185" s="256" t="s">
        <v>178</v>
      </c>
      <c r="O185" s="256"/>
      <c r="P185" s="256"/>
      <c r="Q185" s="256"/>
      <c r="R185" s="256"/>
      <c r="S185" s="1771"/>
      <c r="T185" s="1771"/>
      <c r="U185" s="1771"/>
      <c r="V185" s="1771"/>
      <c r="W185" s="257"/>
      <c r="Y185" s="1186"/>
      <c r="Z185" s="1186"/>
      <c r="AA185" s="1186"/>
      <c r="AB185" s="1186"/>
      <c r="AC185" s="1186"/>
      <c r="AD185" s="1186"/>
      <c r="AE185" s="1186"/>
      <c r="AF185" s="1186"/>
      <c r="AG185" s="1186"/>
      <c r="AH185" s="1186"/>
      <c r="AI185" s="1186"/>
      <c r="AJ185" s="1186"/>
      <c r="AK185" s="1186"/>
    </row>
    <row r="186" spans="1:43" ht="17.25" customHeight="1"/>
    <row r="187" spans="1:43" s="1778" customFormat="1" ht="17.25" customHeight="1">
      <c r="A187" s="1765"/>
      <c r="C187" s="1767"/>
      <c r="D187" s="1755"/>
      <c r="E187" s="1772"/>
      <c r="F187" s="1710"/>
      <c r="G187" s="1773"/>
      <c r="H187" s="1755"/>
      <c r="I187" s="1755"/>
      <c r="J187" s="1776"/>
      <c r="K187" s="1773"/>
      <c r="L187" s="2769"/>
      <c r="M187" s="2769" t="s">
        <v>114</v>
      </c>
      <c r="N187" s="3124" t="str">
        <f>IF(Z187="","",INDEX(TERRITORY_MR_LIST,MATCH(Z187,TERRITORY_LIST_ID,0)))</f>
        <v/>
      </c>
      <c r="O187" s="2821" t="s">
        <v>71</v>
      </c>
      <c r="P187" s="2769"/>
      <c r="Q187" s="2769" t="s">
        <v>114</v>
      </c>
      <c r="R187" s="3113" t="s">
        <v>30</v>
      </c>
      <c r="S187" s="3013" t="s">
        <v>19</v>
      </c>
      <c r="T187" s="1728"/>
      <c r="U187" s="1728" t="s">
        <v>114</v>
      </c>
      <c r="V187" s="1361"/>
      <c r="W187" s="2825"/>
      <c r="Y187" s="1194"/>
      <c r="Z187" s="1194"/>
      <c r="AA187" s="1194"/>
      <c r="AB187" s="1194"/>
      <c r="AC187" s="1194"/>
      <c r="AD187" s="1194"/>
      <c r="AE187" s="1194"/>
      <c r="AF187" s="1194"/>
      <c r="AG187" s="1194"/>
      <c r="AH187" s="1194"/>
      <c r="AI187" s="1194"/>
      <c r="AJ187" s="1194"/>
      <c r="AK187" s="1194"/>
      <c r="AL187" s="1769"/>
      <c r="AM187" s="1769"/>
      <c r="AN187" s="1194"/>
      <c r="AO187" s="1194"/>
      <c r="AP187" s="1194"/>
      <c r="AQ187" s="1194"/>
    </row>
    <row r="188" spans="1:43" s="1778" customFormat="1" ht="17.25" customHeight="1">
      <c r="A188" s="1765"/>
      <c r="C188" s="1770"/>
      <c r="D188" s="1755"/>
      <c r="E188" s="1772"/>
      <c r="F188" s="1710"/>
      <c r="G188" s="1773"/>
      <c r="H188" s="1755"/>
      <c r="I188" s="1755"/>
      <c r="J188" s="1776"/>
      <c r="K188" s="1773"/>
      <c r="L188" s="2769"/>
      <c r="M188" s="2769"/>
      <c r="N188" s="3124"/>
      <c r="O188" s="2822"/>
      <c r="P188" s="2769"/>
      <c r="Q188" s="2769"/>
      <c r="R188" s="3113"/>
      <c r="S188" s="3013"/>
      <c r="T188" s="1362"/>
      <c r="U188" s="1363"/>
      <c r="V188" s="1363"/>
      <c r="W188" s="2825"/>
      <c r="Y188" s="1186"/>
      <c r="Z188" s="1186"/>
      <c r="AA188" s="1186"/>
      <c r="AB188" s="1186"/>
      <c r="AC188" s="1186"/>
      <c r="AD188" s="1186"/>
      <c r="AE188" s="1186"/>
      <c r="AF188" s="1186"/>
      <c r="AG188" s="1186"/>
      <c r="AH188" s="1186"/>
      <c r="AI188" s="1186"/>
      <c r="AJ188" s="1186"/>
      <c r="AK188" s="1186"/>
    </row>
    <row r="189" spans="1:43" s="1778" customFormat="1" ht="17.25" customHeight="1">
      <c r="A189" s="1765"/>
      <c r="C189" s="1770"/>
      <c r="D189" s="1755"/>
      <c r="E189" s="1772"/>
      <c r="F189" s="1710"/>
      <c r="G189" s="1773"/>
      <c r="H189" s="1755"/>
      <c r="I189" s="1755"/>
      <c r="J189" s="1776"/>
      <c r="K189" s="1773"/>
      <c r="L189" s="2792"/>
      <c r="M189" s="2792"/>
      <c r="N189" s="3125"/>
      <c r="O189" s="2773"/>
      <c r="P189" s="255"/>
      <c r="Q189" s="256"/>
      <c r="R189" s="256" t="s">
        <v>176</v>
      </c>
      <c r="S189" s="1771"/>
      <c r="T189" s="1771"/>
      <c r="U189" s="1771"/>
      <c r="V189" s="1771"/>
      <c r="W189" s="1360"/>
      <c r="Y189" s="1186"/>
      <c r="Z189" s="1186"/>
      <c r="AA189" s="1186"/>
      <c r="AB189" s="1186"/>
      <c r="AC189" s="1186"/>
      <c r="AD189" s="1186"/>
      <c r="AE189" s="1186"/>
      <c r="AF189" s="1186"/>
      <c r="AG189" s="1186"/>
      <c r="AH189" s="1186"/>
      <c r="AI189" s="1186"/>
      <c r="AJ189" s="1186"/>
      <c r="AK189" s="1186"/>
    </row>
    <row r="190" spans="1:43" ht="17.25" customHeight="1"/>
    <row r="191" spans="1:43" s="1778" customFormat="1" ht="17.25" customHeight="1">
      <c r="A191" s="1765"/>
      <c r="C191" s="1767"/>
      <c r="D191" s="1755"/>
      <c r="E191" s="1772"/>
      <c r="F191" s="1710"/>
      <c r="G191" s="1773"/>
      <c r="H191" s="1755"/>
      <c r="I191" s="1755"/>
      <c r="J191" s="1776"/>
      <c r="K191" s="1773"/>
      <c r="L191" s="1755"/>
      <c r="M191" s="1755"/>
      <c r="N191" s="1970"/>
      <c r="O191" s="1713"/>
      <c r="P191" s="2769"/>
      <c r="Q191" s="2769" t="s">
        <v>114</v>
      </c>
      <c r="R191" s="3113" t="s">
        <v>30</v>
      </c>
      <c r="S191" s="3013" t="s">
        <v>19</v>
      </c>
      <c r="T191" s="1728"/>
      <c r="U191" s="1728" t="s">
        <v>114</v>
      </c>
      <c r="V191" s="1361"/>
      <c r="W191" s="2825"/>
      <c r="Y191" s="1194"/>
      <c r="Z191" s="1194"/>
      <c r="AA191" s="1194"/>
      <c r="AB191" s="1194"/>
      <c r="AC191" s="1194"/>
      <c r="AD191" s="1194"/>
      <c r="AE191" s="1194"/>
      <c r="AF191" s="1194"/>
      <c r="AG191" s="1194"/>
      <c r="AH191" s="1194"/>
      <c r="AI191" s="1194"/>
      <c r="AJ191" s="1194"/>
      <c r="AK191" s="1194"/>
      <c r="AL191" s="1769"/>
      <c r="AM191" s="1769"/>
      <c r="AN191" s="1194"/>
      <c r="AO191" s="1194"/>
      <c r="AP191" s="1194"/>
      <c r="AQ191" s="1194"/>
    </row>
    <row r="192" spans="1:43" s="1778" customFormat="1" ht="17.25" customHeight="1">
      <c r="A192" s="1765"/>
      <c r="C192" s="1770"/>
      <c r="D192" s="1755"/>
      <c r="E192" s="1772"/>
      <c r="F192" s="1710"/>
      <c r="G192" s="1773"/>
      <c r="H192" s="1755"/>
      <c r="I192" s="1755"/>
      <c r="J192" s="1776"/>
      <c r="K192" s="1773"/>
      <c r="L192" s="1755"/>
      <c r="M192" s="1755"/>
      <c r="N192" s="1970"/>
      <c r="O192" s="1713"/>
      <c r="P192" s="2769"/>
      <c r="Q192" s="2769"/>
      <c r="R192" s="3113"/>
      <c r="S192" s="3013"/>
      <c r="T192" s="1362"/>
      <c r="U192" s="1363"/>
      <c r="V192" s="1363"/>
      <c r="W192" s="2825"/>
      <c r="Y192" s="1186"/>
      <c r="Z192" s="1186"/>
      <c r="AA192" s="1186"/>
      <c r="AB192" s="1186"/>
      <c r="AC192" s="1186"/>
      <c r="AD192" s="1186"/>
      <c r="AE192" s="1186"/>
      <c r="AF192" s="1186"/>
      <c r="AG192" s="1186"/>
      <c r="AH192" s="1186"/>
      <c r="AI192" s="1186"/>
      <c r="AJ192" s="1186"/>
      <c r="AK192" s="1186"/>
    </row>
    <row r="193" spans="1:63" ht="17.25" customHeight="1"/>
    <row r="194" spans="1:63" ht="16.5" customHeight="1">
      <c r="A194" s="1765"/>
      <c r="B194" s="1766"/>
      <c r="C194" s="1770"/>
      <c r="D194" s="2827"/>
      <c r="E194" s="2839"/>
      <c r="F194" s="2839"/>
      <c r="G194" s="2758"/>
      <c r="H194" s="2782"/>
      <c r="I194" s="2784"/>
      <c r="J194" s="2786"/>
      <c r="K194" s="2778"/>
      <c r="L194" s="2778"/>
      <c r="M194" s="2778"/>
      <c r="N194" s="2789"/>
      <c r="O194" s="2778"/>
      <c r="P194" s="2778"/>
      <c r="Q194" s="2778"/>
      <c r="R194" s="2776"/>
      <c r="S194" s="2778"/>
      <c r="T194" s="1709"/>
      <c r="U194" s="1709"/>
      <c r="V194" s="1777"/>
      <c r="W194" s="1223"/>
    </row>
    <row r="195" spans="1:63" ht="16.5" customHeight="1">
      <c r="A195" s="1765"/>
      <c r="B195" s="1766"/>
      <c r="C195" s="1770"/>
      <c r="D195" s="2827"/>
      <c r="E195" s="2839"/>
      <c r="F195" s="2839"/>
      <c r="G195" s="2758"/>
      <c r="H195" s="2783"/>
      <c r="I195" s="2785"/>
      <c r="J195" s="2787"/>
      <c r="K195" s="2779"/>
      <c r="L195" s="2779"/>
      <c r="M195" s="2779"/>
      <c r="N195" s="2790"/>
      <c r="O195" s="2779"/>
      <c r="P195" s="2779"/>
      <c r="Q195" s="2779"/>
      <c r="R195" s="2777"/>
      <c r="S195" s="2779"/>
      <c r="T195" s="1224"/>
      <c r="U195" s="1224"/>
      <c r="V195" s="1224"/>
      <c r="W195" s="1225"/>
    </row>
    <row r="196" spans="1:63" ht="17.25" customHeight="1">
      <c r="A196" s="1765"/>
      <c r="B196" s="1766"/>
      <c r="C196" s="1770"/>
      <c r="D196" s="2827"/>
      <c r="E196" s="2839"/>
      <c r="F196" s="2839"/>
      <c r="G196" s="2758"/>
      <c r="H196" s="2783"/>
      <c r="I196" s="2785"/>
      <c r="J196" s="2788"/>
      <c r="K196" s="2779"/>
      <c r="L196" s="2779"/>
      <c r="M196" s="2779"/>
      <c r="N196" s="2777"/>
      <c r="O196" s="2779"/>
      <c r="P196" s="1712"/>
      <c r="Q196" s="1224"/>
      <c r="R196" s="1224"/>
      <c r="S196" s="1778"/>
      <c r="T196" s="1778"/>
      <c r="U196" s="1778"/>
      <c r="V196" s="1778"/>
      <c r="W196" s="1225"/>
    </row>
    <row r="197" spans="1:63" ht="17.25" customHeight="1">
      <c r="A197" s="1765"/>
      <c r="B197" s="1766"/>
      <c r="C197" s="1770"/>
      <c r="D197" s="2827"/>
      <c r="E197" s="2839"/>
      <c r="F197" s="2839"/>
      <c r="G197" s="2758"/>
      <c r="H197" s="2783"/>
      <c r="I197" s="2785"/>
      <c r="J197" s="2788"/>
      <c r="K197" s="2779"/>
      <c r="L197" s="1224"/>
      <c r="M197" s="1224"/>
      <c r="N197" s="1224"/>
      <c r="O197" s="1224"/>
      <c r="P197" s="1224"/>
      <c r="Q197" s="1224"/>
      <c r="R197" s="1224"/>
      <c r="S197" s="1778"/>
      <c r="T197" s="1778"/>
      <c r="U197" s="1778"/>
      <c r="V197" s="1778"/>
      <c r="W197" s="1225"/>
    </row>
    <row r="198" spans="1:63" ht="17.25" customHeight="1">
      <c r="A198" s="1765"/>
      <c r="B198" s="1766"/>
      <c r="C198" s="1770"/>
      <c r="D198" s="2827"/>
      <c r="E198" s="2839"/>
      <c r="F198" s="2839"/>
      <c r="G198" s="2758"/>
      <c r="H198" s="1226"/>
      <c r="I198" s="1227"/>
      <c r="J198" s="1227"/>
      <c r="K198" s="1227"/>
      <c r="L198" s="1227"/>
      <c r="M198" s="1227"/>
      <c r="N198" s="1227"/>
      <c r="O198" s="1227"/>
      <c r="P198" s="1227"/>
      <c r="Q198" s="1227"/>
      <c r="R198" s="1227"/>
      <c r="S198" s="1779"/>
      <c r="T198" s="1779"/>
      <c r="U198" s="1779"/>
      <c r="V198" s="1779"/>
      <c r="W198" s="1229"/>
    </row>
    <row r="200" spans="1:63" s="1741" customFormat="1" ht="17.25" customHeight="1">
      <c r="A200" s="1741" t="s">
        <v>1986</v>
      </c>
    </row>
    <row r="201" spans="1:63" ht="17.25" customHeight="1">
      <c r="G201" s="1764"/>
      <c r="H201" s="1764"/>
      <c r="I201" s="1764"/>
      <c r="M201" s="1760"/>
    </row>
    <row r="202" spans="1:63" s="1775" customFormat="1" ht="15" customHeight="1">
      <c r="D202" s="3148"/>
      <c r="E202" s="2834"/>
      <c r="F202" s="2834"/>
      <c r="G202" s="2821"/>
      <c r="H202" s="1491"/>
      <c r="I202" s="3149">
        <v>1</v>
      </c>
      <c r="J202" s="2825"/>
      <c r="K202" s="1506"/>
      <c r="L202" s="2821" t="s">
        <v>71</v>
      </c>
      <c r="M202" s="2821" t="s">
        <v>71</v>
      </c>
      <c r="N202" s="1491"/>
      <c r="O202" s="2769" t="s">
        <v>114</v>
      </c>
      <c r="P202" s="3155"/>
      <c r="Q202" s="1507"/>
      <c r="R202" s="2821" t="s">
        <v>71</v>
      </c>
      <c r="S202" s="2821" t="s">
        <v>71</v>
      </c>
      <c r="T202" s="1780"/>
      <c r="U202" s="2769" t="s">
        <v>114</v>
      </c>
      <c r="V202" s="3145" t="str">
        <f>IF(AK202="","",INDEX(TERRITORY_MR_LIST,MATCH(AK202,TERRITORY_LIST_ID,0)))</f>
        <v/>
      </c>
      <c r="W202" s="1508"/>
      <c r="X202" s="2821" t="s">
        <v>71</v>
      </c>
      <c r="Y202" s="2821" t="s">
        <v>19</v>
      </c>
      <c r="Z202" s="1491"/>
      <c r="AA202" s="2769" t="s">
        <v>114</v>
      </c>
      <c r="AB202" s="3147"/>
      <c r="AC202" s="1509"/>
      <c r="AD202" s="2821" t="s">
        <v>71</v>
      </c>
      <c r="AE202" s="2821" t="s">
        <v>19</v>
      </c>
      <c r="AF202" s="1489"/>
      <c r="AG202" s="1737" t="s">
        <v>114</v>
      </c>
      <c r="AH202" s="1499"/>
      <c r="AI202" s="1727"/>
    </row>
    <row r="203" spans="1:63" s="1775" customFormat="1" ht="15" customHeight="1">
      <c r="D203" s="3148"/>
      <c r="E203" s="2834"/>
      <c r="F203" s="2834"/>
      <c r="G203" s="2822"/>
      <c r="H203" s="1491"/>
      <c r="I203" s="3149"/>
      <c r="J203" s="2825"/>
      <c r="K203" s="1490"/>
      <c r="L203" s="2822"/>
      <c r="M203" s="2822"/>
      <c r="N203" s="1491"/>
      <c r="O203" s="2769"/>
      <c r="P203" s="3155"/>
      <c r="Q203" s="1487"/>
      <c r="R203" s="2822"/>
      <c r="S203" s="2822"/>
      <c r="T203" s="1780"/>
      <c r="U203" s="2769"/>
      <c r="V203" s="3146"/>
      <c r="W203" s="1488"/>
      <c r="X203" s="2822"/>
      <c r="Y203" s="2822"/>
      <c r="Z203" s="1491"/>
      <c r="AA203" s="2769"/>
      <c r="AB203" s="3082"/>
      <c r="AC203" s="1492"/>
      <c r="AD203" s="2773"/>
      <c r="AE203" s="2773"/>
      <c r="AF203" s="1493"/>
      <c r="AG203" s="1494"/>
      <c r="AH203" s="3151" t="s">
        <v>1987</v>
      </c>
      <c r="AI203" s="3152"/>
    </row>
    <row r="204" spans="1:63" s="1775" customFormat="1" ht="15" customHeight="1">
      <c r="D204" s="3148"/>
      <c r="E204" s="2834"/>
      <c r="F204" s="2834"/>
      <c r="G204" s="2822"/>
      <c r="H204" s="1491"/>
      <c r="I204" s="3149"/>
      <c r="J204" s="2825"/>
      <c r="K204" s="1490"/>
      <c r="L204" s="2822"/>
      <c r="M204" s="2822"/>
      <c r="N204" s="1491"/>
      <c r="O204" s="2769"/>
      <c r="P204" s="3155"/>
      <c r="Q204" s="1487"/>
      <c r="R204" s="2822"/>
      <c r="S204" s="2822"/>
      <c r="T204" s="1780"/>
      <c r="U204" s="2769"/>
      <c r="V204" s="3146"/>
      <c r="W204" s="1488"/>
      <c r="X204" s="2822"/>
      <c r="Y204" s="2822"/>
      <c r="Z204" s="1530"/>
      <c r="AA204" s="1496"/>
      <c r="AB204" s="3153" t="s">
        <v>1988</v>
      </c>
      <c r="AC204" s="3153"/>
      <c r="AD204" s="3153"/>
      <c r="AE204" s="3153"/>
      <c r="AF204" s="3153"/>
      <c r="AG204" s="3153"/>
      <c r="AH204" s="3153"/>
      <c r="AI204" s="3154"/>
    </row>
    <row r="205" spans="1:63" s="1775" customFormat="1" ht="15" customHeight="1">
      <c r="D205" s="3148"/>
      <c r="E205" s="2834"/>
      <c r="F205" s="2834"/>
      <c r="G205" s="2822"/>
      <c r="H205" s="1491"/>
      <c r="I205" s="3149"/>
      <c r="J205" s="2825"/>
      <c r="K205" s="1490"/>
      <c r="L205" s="2822"/>
      <c r="M205" s="2822"/>
      <c r="N205" s="1491"/>
      <c r="O205" s="2769"/>
      <c r="P205" s="3156"/>
      <c r="Q205" s="1487"/>
      <c r="R205" s="2822"/>
      <c r="S205" s="2822"/>
      <c r="T205" s="1781"/>
      <c r="U205" s="1531"/>
      <c r="V205" s="3151" t="s">
        <v>108</v>
      </c>
      <c r="W205" s="3151"/>
      <c r="X205" s="3151"/>
      <c r="Y205" s="3151"/>
      <c r="Z205" s="3151"/>
      <c r="AA205" s="3151"/>
      <c r="AB205" s="3151"/>
      <c r="AC205" s="3151"/>
      <c r="AD205" s="3151"/>
      <c r="AE205" s="3151"/>
      <c r="AF205" s="3151"/>
      <c r="AG205" s="3151"/>
      <c r="AH205" s="3151"/>
      <c r="AI205" s="3152"/>
    </row>
    <row r="206" spans="1:63" s="1775" customFormat="1" ht="11.25" customHeight="1">
      <c r="D206" s="3148"/>
      <c r="E206" s="2834"/>
      <c r="F206" s="2834"/>
      <c r="G206" s="2822"/>
      <c r="H206" s="1495"/>
      <c r="I206" s="3149"/>
      <c r="J206" s="3150"/>
      <c r="K206" s="1490"/>
      <c r="L206" s="2822"/>
      <c r="M206" s="2822"/>
      <c r="N206" s="1495"/>
      <c r="O206" s="1496"/>
      <c r="P206" s="3151" t="s">
        <v>1989</v>
      </c>
      <c r="Q206" s="3151"/>
      <c r="R206" s="3151"/>
      <c r="S206" s="3151"/>
      <c r="T206" s="3151"/>
      <c r="U206" s="3151"/>
      <c r="V206" s="3151"/>
      <c r="W206" s="3151"/>
      <c r="X206" s="3151"/>
      <c r="Y206" s="3151"/>
      <c r="Z206" s="3151"/>
      <c r="AA206" s="3151"/>
      <c r="AB206" s="3151"/>
      <c r="AC206" s="3151"/>
      <c r="AD206" s="3151"/>
      <c r="AE206" s="3151"/>
      <c r="AF206" s="3151"/>
      <c r="AG206" s="3151"/>
      <c r="AH206" s="3151"/>
      <c r="AI206" s="3152"/>
    </row>
    <row r="207" spans="1:63" s="1481" customFormat="1" ht="11.25" customHeight="1">
      <c r="D207" s="3148"/>
      <c r="E207" s="2834"/>
      <c r="F207" s="2834"/>
      <c r="G207" s="2773"/>
      <c r="H207" s="1497"/>
      <c r="I207" s="1498"/>
      <c r="J207" s="3151" t="s">
        <v>212</v>
      </c>
      <c r="K207" s="3151"/>
      <c r="L207" s="3151"/>
      <c r="M207" s="3151"/>
      <c r="N207" s="3151"/>
      <c r="O207" s="3151"/>
      <c r="P207" s="3151"/>
      <c r="Q207" s="3151"/>
      <c r="R207" s="3151"/>
      <c r="S207" s="3151"/>
      <c r="T207" s="3151"/>
      <c r="U207" s="3151"/>
      <c r="V207" s="3151"/>
      <c r="W207" s="3151"/>
      <c r="X207" s="3151"/>
      <c r="Y207" s="3151"/>
      <c r="Z207" s="3151"/>
      <c r="AA207" s="3151"/>
      <c r="AB207" s="3151"/>
      <c r="AC207" s="3151"/>
      <c r="AD207" s="3151"/>
      <c r="AE207" s="3151"/>
      <c r="AF207" s="3151"/>
      <c r="AG207" s="3151"/>
      <c r="AH207" s="3151"/>
      <c r="AI207" s="3152"/>
      <c r="BK207" s="1501"/>
    </row>
    <row r="208" spans="1:63" ht="17.25" customHeight="1">
      <c r="G208" s="1764"/>
      <c r="I208" s="1764"/>
      <c r="J208" s="1764"/>
      <c r="N208" s="1760"/>
    </row>
    <row r="209" spans="4:63" s="1775" customFormat="1" ht="15" customHeight="1">
      <c r="D209" s="3148"/>
      <c r="E209" s="2834"/>
      <c r="F209" s="2834"/>
      <c r="G209" s="2839"/>
      <c r="H209" s="1526"/>
      <c r="I209" s="2842"/>
      <c r="J209" s="2786"/>
      <c r="K209" s="1711"/>
      <c r="L209" s="2778"/>
      <c r="M209" s="2778"/>
      <c r="N209" s="1511"/>
      <c r="O209" s="2778"/>
      <c r="P209" s="2786"/>
      <c r="Q209" s="1715"/>
      <c r="R209" s="2778"/>
      <c r="S209" s="2778"/>
      <c r="T209" s="1782"/>
      <c r="U209" s="2778"/>
      <c r="V209" s="2786"/>
      <c r="W209" s="1514"/>
      <c r="X209" s="2778"/>
      <c r="Y209" s="2778"/>
      <c r="Z209" s="1511"/>
      <c r="AA209" s="2778"/>
      <c r="AB209" s="2786"/>
      <c r="AC209" s="1515"/>
      <c r="AD209" s="2778"/>
      <c r="AE209" s="2778"/>
      <c r="AF209" s="1709"/>
      <c r="AG209" s="1709"/>
      <c r="AH209" s="1516"/>
      <c r="AI209" s="1223"/>
    </row>
    <row r="210" spans="4:63" s="1775" customFormat="1" ht="15" customHeight="1">
      <c r="D210" s="3148"/>
      <c r="E210" s="2834"/>
      <c r="F210" s="2834"/>
      <c r="G210" s="2839"/>
      <c r="H210" s="1527"/>
      <c r="I210" s="2843"/>
      <c r="J210" s="2787"/>
      <c r="K210" s="1537"/>
      <c r="L210" s="2779"/>
      <c r="M210" s="2779"/>
      <c r="N210" s="1517"/>
      <c r="O210" s="2779"/>
      <c r="P210" s="2787"/>
      <c r="Q210" s="1716"/>
      <c r="R210" s="2779"/>
      <c r="S210" s="2779"/>
      <c r="T210" s="1783"/>
      <c r="U210" s="2779"/>
      <c r="V210" s="2787"/>
      <c r="W210" s="1520"/>
      <c r="X210" s="2779"/>
      <c r="Y210" s="2779"/>
      <c r="Z210" s="1517"/>
      <c r="AA210" s="2779"/>
      <c r="AB210" s="2787"/>
      <c r="AC210" s="1521"/>
      <c r="AD210" s="2779"/>
      <c r="AE210" s="2779"/>
      <c r="AF210" s="1714"/>
      <c r="AG210" s="1714"/>
      <c r="AH210" s="2846"/>
      <c r="AI210" s="2847"/>
    </row>
    <row r="211" spans="4:63" s="1775" customFormat="1" ht="15" customHeight="1">
      <c r="D211" s="3148"/>
      <c r="E211" s="2834"/>
      <c r="F211" s="2834"/>
      <c r="G211" s="2839"/>
      <c r="H211" s="1527"/>
      <c r="I211" s="2843"/>
      <c r="J211" s="2787"/>
      <c r="K211" s="1537"/>
      <c r="L211" s="2779"/>
      <c r="M211" s="2779"/>
      <c r="N211" s="1517"/>
      <c r="O211" s="2779"/>
      <c r="P211" s="2787"/>
      <c r="Q211" s="1716"/>
      <c r="R211" s="2779"/>
      <c r="S211" s="2779"/>
      <c r="T211" s="1783"/>
      <c r="U211" s="2779"/>
      <c r="V211" s="2787"/>
      <c r="W211" s="1520"/>
      <c r="X211" s="2779"/>
      <c r="Y211" s="2779"/>
      <c r="Z211" s="1712"/>
      <c r="AA211" s="1714"/>
      <c r="AB211" s="2846"/>
      <c r="AC211" s="2846"/>
      <c r="AD211" s="2846"/>
      <c r="AE211" s="2846"/>
      <c r="AF211" s="2846"/>
      <c r="AG211" s="2846"/>
      <c r="AH211" s="2846"/>
      <c r="AI211" s="2847"/>
    </row>
    <row r="212" spans="4:63" s="1775" customFormat="1" ht="15" customHeight="1">
      <c r="D212" s="3148"/>
      <c r="E212" s="2834"/>
      <c r="F212" s="2834"/>
      <c r="G212" s="2839"/>
      <c r="H212" s="1527"/>
      <c r="I212" s="2843"/>
      <c r="J212" s="2787"/>
      <c r="K212" s="1537"/>
      <c r="L212" s="2779"/>
      <c r="M212" s="2779"/>
      <c r="N212" s="1517"/>
      <c r="O212" s="2779"/>
      <c r="P212" s="2787"/>
      <c r="Q212" s="1716"/>
      <c r="R212" s="2779"/>
      <c r="S212" s="2779"/>
      <c r="T212" s="1784"/>
      <c r="U212" s="1524"/>
      <c r="V212" s="2846"/>
      <c r="W212" s="2846"/>
      <c r="X212" s="2846"/>
      <c r="Y212" s="2846"/>
      <c r="Z212" s="2846"/>
      <c r="AA212" s="2846"/>
      <c r="AB212" s="2846"/>
      <c r="AC212" s="2846"/>
      <c r="AD212" s="2846"/>
      <c r="AE212" s="2846"/>
      <c r="AF212" s="2846"/>
      <c r="AG212" s="2846"/>
      <c r="AH212" s="2846"/>
      <c r="AI212" s="2847"/>
    </row>
    <row r="213" spans="4:63" s="1775" customFormat="1" ht="11.25" customHeight="1">
      <c r="D213" s="3148"/>
      <c r="E213" s="2834"/>
      <c r="F213" s="2834"/>
      <c r="G213" s="2839"/>
      <c r="H213" s="1528"/>
      <c r="I213" s="2843"/>
      <c r="J213" s="2787"/>
      <c r="K213" s="1537"/>
      <c r="L213" s="2779"/>
      <c r="M213" s="2779"/>
      <c r="N213" s="1714"/>
      <c r="O213" s="1714"/>
      <c r="P213" s="2846"/>
      <c r="Q213" s="2846"/>
      <c r="R213" s="2846"/>
      <c r="S213" s="2846"/>
      <c r="T213" s="2846"/>
      <c r="U213" s="2846"/>
      <c r="V213" s="2846"/>
      <c r="W213" s="2846"/>
      <c r="X213" s="2846"/>
      <c r="Y213" s="2846"/>
      <c r="Z213" s="2846"/>
      <c r="AA213" s="2846"/>
      <c r="AB213" s="2846"/>
      <c r="AC213" s="2846"/>
      <c r="AD213" s="2846"/>
      <c r="AE213" s="2846"/>
      <c r="AF213" s="2846"/>
      <c r="AG213" s="2846"/>
      <c r="AH213" s="2846"/>
      <c r="AI213" s="2847"/>
    </row>
    <row r="214" spans="4:63" s="1481" customFormat="1" ht="11.25" customHeight="1">
      <c r="D214" s="3148"/>
      <c r="E214" s="2834"/>
      <c r="F214" s="2834"/>
      <c r="G214" s="2848"/>
      <c r="H214" s="1525"/>
      <c r="I214" s="1529"/>
      <c r="J214" s="2844"/>
      <c r="K214" s="2844"/>
      <c r="L214" s="2844"/>
      <c r="M214" s="2844"/>
      <c r="N214" s="2844"/>
      <c r="O214" s="2844"/>
      <c r="P214" s="2844"/>
      <c r="Q214" s="2844"/>
      <c r="R214" s="2844"/>
      <c r="S214" s="2844"/>
      <c r="T214" s="2844"/>
      <c r="U214" s="2844"/>
      <c r="V214" s="2844"/>
      <c r="W214" s="2844"/>
      <c r="X214" s="2844"/>
      <c r="Y214" s="2844"/>
      <c r="Z214" s="2844"/>
      <c r="AA214" s="2844"/>
      <c r="AB214" s="2844"/>
      <c r="AC214" s="2844"/>
      <c r="AD214" s="2844"/>
      <c r="AE214" s="2844"/>
      <c r="AF214" s="2844"/>
      <c r="AG214" s="2844"/>
      <c r="AH214" s="2844"/>
      <c r="AI214" s="2845"/>
      <c r="BK214" s="1501"/>
    </row>
    <row r="215" spans="4:63" ht="17.25" customHeight="1"/>
  </sheetData>
  <sheetProtection formatColumns="0" formatRows="0" insertRows="0" deleteColumns="0" deleteRows="0" sort="0" autoFilter="0"/>
  <mergeCells count="287">
    <mergeCell ref="W176:W177"/>
    <mergeCell ref="O176:O178"/>
    <mergeCell ref="P176:P177"/>
    <mergeCell ref="Q176:Q177"/>
    <mergeCell ref="R176:R177"/>
    <mergeCell ref="S191:S192"/>
    <mergeCell ref="W191:W192"/>
    <mergeCell ref="W182:W183"/>
    <mergeCell ref="L187:L189"/>
    <mergeCell ref="M187:M189"/>
    <mergeCell ref="N187:N189"/>
    <mergeCell ref="O187:O189"/>
    <mergeCell ref="P187:P188"/>
    <mergeCell ref="Q187:Q188"/>
    <mergeCell ref="R187:R188"/>
    <mergeCell ref="S187:S188"/>
    <mergeCell ref="W187:W188"/>
    <mergeCell ref="AF101:AF105"/>
    <mergeCell ref="AG101:AG105"/>
    <mergeCell ref="AH101:AH105"/>
    <mergeCell ref="AI101:AI105"/>
    <mergeCell ref="AJ101:AJ105"/>
    <mergeCell ref="AK101:AK105"/>
    <mergeCell ref="N102:N104"/>
    <mergeCell ref="O102:O104"/>
    <mergeCell ref="P102:P104"/>
    <mergeCell ref="Q102:Q104"/>
    <mergeCell ref="R102:R104"/>
    <mergeCell ref="S102:S104"/>
    <mergeCell ref="T102:T104"/>
    <mergeCell ref="U102:U104"/>
    <mergeCell ref="V102:V104"/>
    <mergeCell ref="W102:W104"/>
    <mergeCell ref="X102:X104"/>
    <mergeCell ref="Y102:Y104"/>
    <mergeCell ref="V91:V93"/>
    <mergeCell ref="W91:W93"/>
    <mergeCell ref="X91:X93"/>
    <mergeCell ref="Y91:Y93"/>
    <mergeCell ref="H101:H105"/>
    <mergeCell ref="I101:I105"/>
    <mergeCell ref="J101:J105"/>
    <mergeCell ref="K101:K105"/>
    <mergeCell ref="L101:L105"/>
    <mergeCell ref="M101:M105"/>
    <mergeCell ref="AB209:AB210"/>
    <mergeCell ref="AD209:AD210"/>
    <mergeCell ref="AE209:AE210"/>
    <mergeCell ref="AH210:AI210"/>
    <mergeCell ref="AB211:AI211"/>
    <mergeCell ref="V212:AI212"/>
    <mergeCell ref="P213:AI213"/>
    <mergeCell ref="J214:AI214"/>
    <mergeCell ref="AD202:AD203"/>
    <mergeCell ref="AE202:AE203"/>
    <mergeCell ref="AH203:AI203"/>
    <mergeCell ref="AB204:AI204"/>
    <mergeCell ref="V205:AI205"/>
    <mergeCell ref="P206:AI206"/>
    <mergeCell ref="J207:AI207"/>
    <mergeCell ref="P209:P212"/>
    <mergeCell ref="R209:R212"/>
    <mergeCell ref="S209:S212"/>
    <mergeCell ref="U209:U211"/>
    <mergeCell ref="V209:V211"/>
    <mergeCell ref="X209:X211"/>
    <mergeCell ref="Y209:Y211"/>
    <mergeCell ref="AA209:AA210"/>
    <mergeCell ref="P202:P205"/>
    <mergeCell ref="D209:D214"/>
    <mergeCell ref="E209:E214"/>
    <mergeCell ref="F209:F214"/>
    <mergeCell ref="G209:G214"/>
    <mergeCell ref="I209:I213"/>
    <mergeCell ref="J209:J213"/>
    <mergeCell ref="L209:L213"/>
    <mergeCell ref="M209:M213"/>
    <mergeCell ref="O209:O212"/>
    <mergeCell ref="R202:R205"/>
    <mergeCell ref="S202:S205"/>
    <mergeCell ref="U202:U204"/>
    <mergeCell ref="V202:V204"/>
    <mergeCell ref="X202:X204"/>
    <mergeCell ref="Y202:Y204"/>
    <mergeCell ref="AA202:AA203"/>
    <mergeCell ref="AB202:AB203"/>
    <mergeCell ref="D202:D207"/>
    <mergeCell ref="E202:E207"/>
    <mergeCell ref="F202:F207"/>
    <mergeCell ref="G202:G207"/>
    <mergeCell ref="I202:I206"/>
    <mergeCell ref="J202:J206"/>
    <mergeCell ref="L202:L206"/>
    <mergeCell ref="M202:M206"/>
    <mergeCell ref="O202:O205"/>
    <mergeCell ref="D176:D180"/>
    <mergeCell ref="E176:E180"/>
    <mergeCell ref="F176:F180"/>
    <mergeCell ref="G176:G180"/>
    <mergeCell ref="H176:H179"/>
    <mergeCell ref="I176:I179"/>
    <mergeCell ref="J176:J179"/>
    <mergeCell ref="K176:K179"/>
    <mergeCell ref="L176:L178"/>
    <mergeCell ref="AJ82:AJ86"/>
    <mergeCell ref="AK82:AK86"/>
    <mergeCell ref="I87:K87"/>
    <mergeCell ref="F82:F87"/>
    <mergeCell ref="AF82:AF86"/>
    <mergeCell ref="AG82:AG86"/>
    <mergeCell ref="AH82:AH86"/>
    <mergeCell ref="AI82:AI86"/>
    <mergeCell ref="S83:S85"/>
    <mergeCell ref="T83:T85"/>
    <mergeCell ref="U83:U85"/>
    <mergeCell ref="V83:V85"/>
    <mergeCell ref="W83:W85"/>
    <mergeCell ref="X83:X85"/>
    <mergeCell ref="Y83:Y85"/>
    <mergeCell ref="H82:H86"/>
    <mergeCell ref="I82:I86"/>
    <mergeCell ref="J82:J86"/>
    <mergeCell ref="K82:K86"/>
    <mergeCell ref="L82:L86"/>
    <mergeCell ref="M82:M86"/>
    <mergeCell ref="N83:N85"/>
    <mergeCell ref="O83:O85"/>
    <mergeCell ref="Y72:Y73"/>
    <mergeCell ref="S72:S73"/>
    <mergeCell ref="T72:T73"/>
    <mergeCell ref="M72:M73"/>
    <mergeCell ref="N72:N73"/>
    <mergeCell ref="O72:O73"/>
    <mergeCell ref="Q72:Q73"/>
    <mergeCell ref="R72:R73"/>
    <mergeCell ref="W72:W73"/>
    <mergeCell ref="X72:X73"/>
    <mergeCell ref="P72:P73"/>
    <mergeCell ref="H128:R128"/>
    <mergeCell ref="E129:G129"/>
    <mergeCell ref="H129:R129"/>
    <mergeCell ref="E130:P130"/>
    <mergeCell ref="D194:D198"/>
    <mergeCell ref="I154:I157"/>
    <mergeCell ref="H194:H197"/>
    <mergeCell ref="J194:J197"/>
    <mergeCell ref="K194:K197"/>
    <mergeCell ref="M194:M196"/>
    <mergeCell ref="O194:O196"/>
    <mergeCell ref="P165:P166"/>
    <mergeCell ref="Q165:Q166"/>
    <mergeCell ref="R165:R166"/>
    <mergeCell ref="P169:P170"/>
    <mergeCell ref="Q169:Q170"/>
    <mergeCell ref="R169:R170"/>
    <mergeCell ref="P191:P192"/>
    <mergeCell ref="Q191:Q192"/>
    <mergeCell ref="R191:R192"/>
    <mergeCell ref="O160:O162"/>
    <mergeCell ref="P160:P161"/>
    <mergeCell ref="Q160:Q161"/>
    <mergeCell ref="R160:R161"/>
    <mergeCell ref="A13:A15"/>
    <mergeCell ref="D23:D25"/>
    <mergeCell ref="E23:E25"/>
    <mergeCell ref="F23:F25"/>
    <mergeCell ref="G23:G24"/>
    <mergeCell ref="H23:H24"/>
    <mergeCell ref="I23:I24"/>
    <mergeCell ref="J23:J24"/>
    <mergeCell ref="G29:G30"/>
    <mergeCell ref="H29:H30"/>
    <mergeCell ref="I29:I30"/>
    <mergeCell ref="J29:J30"/>
    <mergeCell ref="L194:L196"/>
    <mergeCell ref="S160:S161"/>
    <mergeCell ref="L165:L167"/>
    <mergeCell ref="M165:M167"/>
    <mergeCell ref="N165:N167"/>
    <mergeCell ref="O165:O167"/>
    <mergeCell ref="S165:S166"/>
    <mergeCell ref="Q194:Q195"/>
    <mergeCell ref="R194:R195"/>
    <mergeCell ref="S194:S195"/>
    <mergeCell ref="P194:P195"/>
    <mergeCell ref="S169:S170"/>
    <mergeCell ref="L182:L184"/>
    <mergeCell ref="M182:M184"/>
    <mergeCell ref="N182:N184"/>
    <mergeCell ref="O182:O184"/>
    <mergeCell ref="P182:P183"/>
    <mergeCell ref="Q182:Q183"/>
    <mergeCell ref="R182:R183"/>
    <mergeCell ref="S182:S183"/>
    <mergeCell ref="S176:S177"/>
    <mergeCell ref="L154:L156"/>
    <mergeCell ref="N194:N196"/>
    <mergeCell ref="E154:E158"/>
    <mergeCell ref="N154:N156"/>
    <mergeCell ref="J154:J157"/>
    <mergeCell ref="F154:F158"/>
    <mergeCell ref="E194:E198"/>
    <mergeCell ref="H154:H157"/>
    <mergeCell ref="G194:G198"/>
    <mergeCell ref="H160:H163"/>
    <mergeCell ref="I160:I163"/>
    <mergeCell ref="J160:J163"/>
    <mergeCell ref="K160:K163"/>
    <mergeCell ref="L160:L162"/>
    <mergeCell ref="M160:M162"/>
    <mergeCell ref="N160:N162"/>
    <mergeCell ref="F194:F198"/>
    <mergeCell ref="I194:I197"/>
    <mergeCell ref="M176:M178"/>
    <mergeCell ref="N176:N178"/>
    <mergeCell ref="H182:H185"/>
    <mergeCell ref="I182:I185"/>
    <mergeCell ref="J182:J185"/>
    <mergeCell ref="K182:K185"/>
    <mergeCell ref="H147:H148"/>
    <mergeCell ref="I147:I148"/>
    <mergeCell ref="J147:J148"/>
    <mergeCell ref="K147:K148"/>
    <mergeCell ref="AC115:AC120"/>
    <mergeCell ref="E116:G116"/>
    <mergeCell ref="H116:R116"/>
    <mergeCell ref="E117:G117"/>
    <mergeCell ref="E139:E142"/>
    <mergeCell ref="F139:F142"/>
    <mergeCell ref="G139:G142"/>
    <mergeCell ref="L139:M139"/>
    <mergeCell ref="S139:S142"/>
    <mergeCell ref="H140:H141"/>
    <mergeCell ref="I140:I141"/>
    <mergeCell ref="J140:J141"/>
    <mergeCell ref="K140:K141"/>
    <mergeCell ref="H117:R117"/>
    <mergeCell ref="E118:P118"/>
    <mergeCell ref="U118:U120"/>
    <mergeCell ref="V118:V120"/>
    <mergeCell ref="E121:P121"/>
    <mergeCell ref="AC127:AC132"/>
    <mergeCell ref="E128:G128"/>
    <mergeCell ref="V121:V123"/>
    <mergeCell ref="D154:D158"/>
    <mergeCell ref="L72:L73"/>
    <mergeCell ref="G82:G86"/>
    <mergeCell ref="U133:U135"/>
    <mergeCell ref="V133:V135"/>
    <mergeCell ref="O154:O156"/>
    <mergeCell ref="S154:S155"/>
    <mergeCell ref="U72:U73"/>
    <mergeCell ref="V72:V73"/>
    <mergeCell ref="U130:U132"/>
    <mergeCell ref="V130:V132"/>
    <mergeCell ref="P154:P155"/>
    <mergeCell ref="Q154:Q155"/>
    <mergeCell ref="R154:R155"/>
    <mergeCell ref="G154:G158"/>
    <mergeCell ref="K154:K157"/>
    <mergeCell ref="D127:D135"/>
    <mergeCell ref="E127:G127"/>
    <mergeCell ref="H127:R127"/>
    <mergeCell ref="D115:D123"/>
    <mergeCell ref="E115:G115"/>
    <mergeCell ref="H115:R115"/>
    <mergeCell ref="M154:M156"/>
    <mergeCell ref="A47:A51"/>
    <mergeCell ref="C47:C51"/>
    <mergeCell ref="F72:F73"/>
    <mergeCell ref="G72:G73"/>
    <mergeCell ref="H72:H73"/>
    <mergeCell ref="I72:I73"/>
    <mergeCell ref="J72:J73"/>
    <mergeCell ref="K72:K73"/>
    <mergeCell ref="U121:U123"/>
    <mergeCell ref="P83:P85"/>
    <mergeCell ref="Q83:Q85"/>
    <mergeCell ref="R83:R85"/>
    <mergeCell ref="N91:N93"/>
    <mergeCell ref="O91:O93"/>
    <mergeCell ref="P91:P93"/>
    <mergeCell ref="Q91:Q93"/>
    <mergeCell ref="R91:R93"/>
    <mergeCell ref="S91:S93"/>
    <mergeCell ref="T91:T93"/>
    <mergeCell ref="U91:U93"/>
  </mergeCells>
  <dataValidations count="20">
    <dataValidation type="decimal" allowBlank="1" showErrorMessage="1" errorTitle="Ошибка" error="Допускается ввод только действительных чисел!" sqref="CY110:DJ110 BT110:CK110 O110:AB110">
      <formula1>-9.99999999999999E+23</formula1>
      <formula2>9.99999999999999E+23</formula2>
    </dataValidation>
    <dataValidation type="list" errorStyle="warning" allowBlank="1" showInputMessage="1" errorTitle="Ошибка" error="Выберите значение из списка" prompt="Выберите значение из списка или укажите свой вид твердых коммунальных отходов" sqref="AC202 AC209">
      <formula1>list_typeTKO</formula1>
    </dataValidation>
    <dataValidation allowBlank="1" showInputMessage="1" showErrorMessage="1"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54:N156 N176:N178 N160:N162 N165:N167 N169:N170 N182:N184 N187:N189 N191:N192"/>
    <dataValidation type="list" allowBlank="1" showInputMessage="1" showErrorMessage="1" errorTitle="Ошибка" error="Выберите значение из списка" prompt="Выберите значение из списка" sqref="H110">
      <formula1>QRE_METHOD_LIST</formula1>
    </dataValidation>
    <dataValidation type="list" allowBlank="1" showInputMessage="1" showErrorMessage="1" errorTitle="Ошибка" error="Выберите значение из списка" prompt="Выберите значение из списка" sqref="J140:J141 J147:J148 J150">
      <formula1>kind_of_purchase_method</formula1>
    </dataValidation>
    <dataValidation allowBlank="1" showInputMessage="1" showErrorMessage="1" promptTitle="Ввод" prompt="Для выбора ИП необходимо два раза нажать левую кнопку мыши!" sqref="G72 G77"/>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60"/>
    <dataValidation type="whole" allowBlank="1" showErrorMessage="1" errorTitle="Ошибка" error="Допускается ввод только неотрицательных целых чисел!" sqref="AF91:AF93 AI91:AI93 AF101:AF105 AI101:AI105 AF97 AI97 AF82:AF86 AI82:AI86 N60 P60 U60:V60 Y60:Z60 J60 R60:S60 AC6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L60">
      <formula1>kind_of_power_te_unit</formula1>
    </dataValidation>
    <dataValidation allowBlank="1" showInputMessage="1" showErrorMessage="1" prompt="Изменение значения по двойному щелчоку левой кнопки мыши" sqref="J56"/>
    <dataValidation type="list" allowBlank="1" showInputMessage="1" showErrorMessage="1" sqref="I34">
      <formula1>DESCRIPTION_TERRITORY</formula1>
    </dataValidation>
    <dataValidation type="textLength" operator="lessThan" allowBlank="1" showInputMessage="1" showErrorMessage="1" error="Допускается ввод не более 900 символов!" sqref="M29 M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39 I82:J85 K72 K77 I97:J97 I101:J104">
      <formula1>"a"</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Web&quot;." sqref="H64 K56 F68">
      <formula1>900</formula1>
    </dataValidation>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194:N196">
      <formula1>DESCRIPTION_TERRITORY</formula1>
    </dataValidation>
    <dataValidation allowBlank="1" showInputMessage="1" showErrorMessage="1" prompt="Выберите виды деятельности, выполнив двойной щелчок левой кнопки мыши по ячейке." sqref="G165:G167 G172 G154:G158 G191:G192 G160:G163 G176:G180 G182:G185 G187:G189 G169:G170"/>
    <dataValidation type="decimal" allowBlank="1" showErrorMessage="1" errorTitle="Ошибка" error="Допускается ввод только неотрицательных чисел!" sqref="Q147 O147 O150 Q150 Q140 O140 AC84 AE84 AC92 AE92 AE97 AE103 AC103 AC97 T60 H60:I60 AB60 X60 K60 M60 O60 Q6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G64 T72 I72:J72 X72 T77 I77:J77 X77 F49"/>
    <dataValidation allowBlank="1" showInputMessage="1" showErrorMessage="1" prompt="Для выбора выполните двойной щелчок левой клавиши мыши по соответствующей ячейке." sqref="K194:K195 O194:O195 S154:S155 S194:S195 O154 K154 F165:F167 S176:S177 O176 K176 F172 K160 S160:S161 O160 F154:F158 K165 S165:S166 O165 O191 K169 S169:S170 O169 F160:F163 K182 S182:S183 O182 F176:F180 F182:F185 S187:S188 O187 F187:F189 F191:F192 S191:S192 F169:F170"/>
    <dataValidation type="textLength" operator="lessThanOrEqual" allowBlank="1" showInputMessage="1" showErrorMessage="1" errorTitle="Ошибка" error="Допускается ввод не более 900 символов!" sqref="L72:M72 E8 J194:J195 R194:R195 U72:W72 V194:W194 AB72 G13 M34 E39 E60 R191:R192 E64:F64 E68 G68 Q72:S72 M82 K82:K85 V154:W154 J154:J155 R154:R155 V176:W176 J176:J177 R176:R177 AI202 J202:J206 P202:P205 AI209 J209:J213 P209:P212 E4 L77:M77 U77:W77 AB77 Q77:S77 V172:W172 J172 R172 K91:K93 M101 K101:K104 K97 V160:W160 J160:J161 R160:R161 V165:W165 J165:J166 R165:R166 V169:W169 J169:J170 R169:R170 V182:W182 J182:J183 R182:R183 V187:W187 J187:J188 R187:R188 V191:W191 J191:J192 E43:F43 F48 F50:F51 I110">
      <formula1>900</formula1>
    </dataValidation>
  </dataValidations>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H34"/>
  <sheetViews>
    <sheetView showGridLines="0" workbookViewId="0"/>
  </sheetViews>
  <sheetFormatPr defaultColWidth="43.140625" defaultRowHeight="9" customHeight="1"/>
  <cols>
    <col min="1" max="1" width="43.140625" style="771"/>
    <col min="2" max="2" width="43.140625" style="771" hidden="1"/>
    <col min="3" max="3" width="43.140625" style="771"/>
    <col min="4" max="5" width="36.42578125" style="771" customWidth="1"/>
    <col min="6" max="8" width="36.42578125" style="911" customWidth="1"/>
  </cols>
  <sheetData>
    <row r="1" spans="1:8" ht="9" customHeight="1">
      <c r="A1" s="777" t="s">
        <v>1990</v>
      </c>
      <c r="B1" s="777"/>
      <c r="C1" s="912" t="s">
        <v>1991</v>
      </c>
      <c r="D1" s="910" t="s">
        <v>853</v>
      </c>
      <c r="E1" s="910" t="s">
        <v>899</v>
      </c>
      <c r="F1" s="910" t="s">
        <v>952</v>
      </c>
      <c r="G1" s="910" t="s">
        <v>939</v>
      </c>
      <c r="H1" s="910" t="s">
        <v>1664</v>
      </c>
    </row>
    <row r="2" spans="1:8" ht="9" customHeight="1">
      <c r="A2" s="913" t="s">
        <v>1992</v>
      </c>
      <c r="B2" s="913"/>
      <c r="C2" s="914" t="str">
        <f>INDEX(TEMPLATE_NUMBER_FORM_LIST,MATCH(TEMPLATE_SPHERE,TEMPLATE_SPHERE_LIST,0))</f>
        <v>16</v>
      </c>
      <c r="D2" s="913" t="s">
        <v>1513</v>
      </c>
      <c r="E2" s="913" t="s">
        <v>154</v>
      </c>
      <c r="F2" s="915" t="s">
        <v>154</v>
      </c>
      <c r="G2" s="913" t="s">
        <v>154</v>
      </c>
      <c r="H2" s="916"/>
    </row>
    <row r="3" spans="1:8" ht="63" customHeight="1">
      <c r="A3" s="777"/>
      <c r="B3" s="777" t="s">
        <v>114</v>
      </c>
      <c r="C3" s="914" t="str">
        <f>IF(TEMPLATE_SPHERE="HEAT",D3,IF(TEMPLATE_SPHERE="TKO",H3,E3))</f>
        <v>Форма 14. Информация о наличии (об отсутствии) технической возможности подключения (технологического присоединения) к системе теплоснабжения, а также о принятии и ходе рассмотрения заявок на заключение договора о подключении (технологическом присоединении) к системе теплоснабжения</v>
      </c>
      <c r="D3" s="914" t="s">
        <v>1993</v>
      </c>
      <c r="E3" s="914" t="str">
        <f>"Форма 8. Информация о наличии (об отсутствии) технической возможности подключения (технологического присоединения) к централизованной системе "&amp;TEMPLATE_SPHERE_RUS&amp;", а также о принятии и рассмотрении заявлений о заключении договоров о подключении (технологическом присоединении) к централизованной системе "&amp;TEMPLATE_SPHERE_RUS</f>
        <v>Форма 8. Информация о наличии (об отсутствии) технической возможности подключения (технологического присоединения) к централизованной системе теплоснабжения, а также о принятии и рассмотрении заявлений о заключении договоров о подключении (технологическом присоединении) к централизованной системе теплоснабжения</v>
      </c>
      <c r="F3" s="915"/>
      <c r="G3" s="916"/>
      <c r="H3" s="777"/>
    </row>
    <row r="4" spans="1:8" ht="243" customHeight="1">
      <c r="A4" s="777" t="s">
        <v>1994</v>
      </c>
      <c r="B4" s="777" t="s">
        <v>115</v>
      </c>
      <c r="C4" s="914" t="str">
        <f>IF(TEMPLATE_SPHERE="HEAT",D4,IF(TEMPLATE_SPHERE="TKO",H4,E4))</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D4" s="913" t="s">
        <v>1995</v>
      </c>
      <c r="E4" s="914"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4" s="913"/>
      <c r="G4" s="913"/>
      <c r="H4" s="777" t="s">
        <v>1996</v>
      </c>
    </row>
    <row r="5" spans="1:8" ht="117" customHeight="1">
      <c r="A5" s="777" t="s">
        <v>1997</v>
      </c>
      <c r="B5" s="777" t="s">
        <v>95</v>
      </c>
      <c r="C5" s="914" t="str">
        <f>IF(TEMPLATE_SPHERE="HEAT",D5,IF(TEMPLATE_SPHERE="TKO",H5,E5))</f>
        <v>Форма 15. Информация об условиях, на которых осуществляется поставка товаров (оказание услуг) в сфере теплоснабжения, цены (тарифы) на которые подлежат регулированию, и (или) условиях договоров о подключении (технологическом присоединении) к системе теплоснабжения, информация об условиях, на которых осуществляется поставка товаров (оказание услуг) по ценам, определяемым по соглашению сторон в соответствии с Федеральным законом от 27 июля 2010 г. N 190-ФЗ "О теплоснабжении", и (или) условиях договоров о подключении (технологическом присоединении) к системе теплоснабжения</v>
      </c>
      <c r="D5" s="777" t="s">
        <v>1998</v>
      </c>
      <c r="E5" s="780" t="str">
        <f>"Форма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"&amp;TEMPLATE_SPHERE_RUS</f>
        <v>Форма 9. Информация об условиях, на которых осуществляется поставка товаров (оказание услуг), тарифы на которые подлежат регулированию, и (или) условиях договоров о подключении (технологическом присоединении) к централизованной системе теплоснабжения</v>
      </c>
      <c r="F5" s="916"/>
      <c r="G5" s="916"/>
      <c r="H5" s="777" t="s">
        <v>1999</v>
      </c>
    </row>
    <row r="6" spans="1:8" ht="90" customHeight="1">
      <c r="A6" s="777" t="s">
        <v>2000</v>
      </c>
      <c r="B6" s="777" t="s">
        <v>96</v>
      </c>
      <c r="C6" s="914" t="str">
        <f>IF(TEMPLATE_SPHERE="HEAT",D6,E6)</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D6" s="780" t="str">
        <f>IF(TITLE_TYPE_ORG="Регулируемая организация","Форма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деятельности)","Форма 8. Информация о товарах (об услугах), поставляемых (оказываемых) единой теплоснабжающей организацией в ценовых зонах теплоснабжения по регулируемым ценам (тарифам) "&amp;"в сфере теплоснабжения, информация о товарах (об услугах), поставляемых (оказываемых) теплоснабжающей организацией в ценовых"&amp;" зонах теплоснабжения и теплосетевой организацией в ценовых зонах теплоснабжения по регулируемым ценам (тарифам) в сфере теплоснабжения")</f>
        <v>Форма 7. Информация об основных показателях финансово-хозяйственной деятельности регулируемой организации, включая структуру основных производственных затрат (в части регулируемых видов деятельности)</v>
      </c>
      <c r="E6" s="780" t="str">
        <f>"Форма 4. Информация об основных показателях финансово-хозяйственной деятельности организации "&amp;TEMPLATE_SPHERE_RUS&amp;", включая структуру основных производственных затрат (в части регулируемых видов деятельности в сфере "&amp;TEMPLATE_SPHERE_RUS&amp;")"</f>
        <v>Форма 4. Информация об основных показателях финансово-хозяйственной деятельности организации теплоснабжения, включая структуру основных производственных затрат (в части регулируемых видов деятельности в сфере теплоснабжения)</v>
      </c>
      <c r="F6" s="777"/>
      <c r="G6" s="777"/>
      <c r="H6" s="916"/>
    </row>
    <row r="7" spans="1:8" ht="45" customHeight="1">
      <c r="A7" s="777" t="s">
        <v>2001</v>
      </c>
      <c r="B7" s="777" t="s">
        <v>116</v>
      </c>
      <c r="C7" s="914" t="str">
        <f>IF(TEMPLATE_SPHERE="HEAT",D7,E7)</f>
        <v>Форма 11. Информация о расходах на капитальный и текущий ремонт основных средств</v>
      </c>
      <c r="D7" s="777" t="s">
        <v>2002</v>
      </c>
      <c r="E7" s="777" t="s">
        <v>2003</v>
      </c>
      <c r="F7" s="916"/>
      <c r="G7" s="916"/>
      <c r="H7" s="916"/>
    </row>
    <row r="8" spans="1:8" ht="108" customHeight="1">
      <c r="A8" s="777" t="s">
        <v>2004</v>
      </c>
      <c r="B8" s="777" t="s">
        <v>97</v>
      </c>
      <c r="C8" s="914" t="str">
        <f>IF(TEMPLATE_SPHERE="HEAT",D8,E8)</f>
        <v>Форма 12. Информация об основных потребительских характеристиках товаров, услуг регулируемой организации, цены (тарифы) в сфере теплоснабжения на которые подлежат регулированию, об основных потребительских характеристиках товаров (услуг), поставляемых (оказываемых) единой теплоснабжающей организацией в ценовых зонах теплоснабжения, об основных потребительских характеристиках товаров (услуг), поставляемых (оказываемых) теплоснабжающей организацией в ценовых зонах теплоснабжения и теплосетевой организацией в ценовых зонах теплоснабжения</v>
      </c>
      <c r="D8" s="777" t="s">
        <v>1206</v>
      </c>
      <c r="E8" s="777" t="s">
        <v>2005</v>
      </c>
      <c r="F8" s="916"/>
      <c r="G8" s="916"/>
      <c r="H8" s="916"/>
    </row>
    <row r="9" spans="1:8" ht="99" customHeight="1">
      <c r="A9" s="777" t="s">
        <v>2006</v>
      </c>
      <c r="B9" s="777"/>
      <c r="C9" s="777" t="s">
        <v>2007</v>
      </c>
      <c r="D9" s="777"/>
      <c r="E9" s="777"/>
      <c r="F9" s="916"/>
      <c r="G9" s="916"/>
      <c r="H9" s="916"/>
    </row>
    <row r="10" spans="1:8" ht="126" customHeight="1">
      <c r="A10" s="777" t="s">
        <v>2008</v>
      </c>
      <c r="B10" s="777"/>
      <c r="C10" s="777" t="s">
        <v>2009</v>
      </c>
      <c r="D10" s="777"/>
      <c r="E10" s="777"/>
      <c r="F10" s="916"/>
      <c r="G10" s="916"/>
      <c r="H10" s="916"/>
    </row>
    <row r="11" spans="1:8" ht="108" customHeight="1">
      <c r="A11" s="777" t="s">
        <v>2010</v>
      </c>
      <c r="B11" s="777"/>
      <c r="C11" s="777" t="s">
        <v>2011</v>
      </c>
      <c r="D11" s="777"/>
      <c r="E11" s="777"/>
      <c r="F11" s="916"/>
      <c r="G11" s="916"/>
      <c r="H11" s="916"/>
    </row>
    <row r="12" spans="1:8" ht="54" customHeight="1">
      <c r="A12" s="777" t="s">
        <v>2012</v>
      </c>
      <c r="B12" s="777"/>
      <c r="C12" s="777" t="s">
        <v>2013</v>
      </c>
      <c r="D12" s="777"/>
      <c r="E12" s="777"/>
      <c r="F12" s="916"/>
      <c r="G12" s="916"/>
      <c r="H12" s="916"/>
    </row>
    <row r="13" spans="1:8" ht="45" customHeight="1">
      <c r="A13" s="777" t="s">
        <v>2014</v>
      </c>
      <c r="B13" s="777"/>
      <c r="C13" s="777" t="s">
        <v>2015</v>
      </c>
      <c r="D13" s="777"/>
      <c r="E13" s="777"/>
      <c r="F13" s="916"/>
      <c r="G13" s="916"/>
      <c r="H13" s="916"/>
    </row>
    <row r="14" spans="1:8" ht="117" customHeight="1">
      <c r="A14" s="777" t="s">
        <v>2016</v>
      </c>
      <c r="B14" s="777"/>
      <c r="C14" s="777" t="s">
        <v>2017</v>
      </c>
      <c r="D14" s="777"/>
      <c r="E14" s="777"/>
      <c r="F14" s="916"/>
      <c r="G14" s="916"/>
      <c r="H14" s="916"/>
    </row>
    <row r="15" spans="1:8" ht="117" customHeight="1">
      <c r="A15" s="777" t="s">
        <v>2018</v>
      </c>
      <c r="B15" s="777"/>
      <c r="C15" s="777" t="s">
        <v>2019</v>
      </c>
      <c r="D15" s="777"/>
      <c r="E15" s="777"/>
      <c r="F15" s="916"/>
      <c r="G15" s="916"/>
      <c r="H15" s="916"/>
    </row>
    <row r="16" spans="1:8" ht="63" customHeight="1">
      <c r="A16" s="777" t="s">
        <v>2020</v>
      </c>
      <c r="B16" s="777"/>
      <c r="C16" s="777" t="s">
        <v>2021</v>
      </c>
      <c r="D16" s="777"/>
      <c r="E16" s="777"/>
      <c r="F16" s="916"/>
      <c r="G16" s="916"/>
      <c r="H16" s="916"/>
    </row>
    <row r="17" spans="1:8" ht="54" customHeight="1">
      <c r="A17" s="777" t="s">
        <v>2022</v>
      </c>
      <c r="B17" s="777"/>
      <c r="C17" s="914" t="s">
        <v>2023</v>
      </c>
      <c r="D17" s="777"/>
      <c r="E17" s="777"/>
      <c r="F17" s="916"/>
      <c r="G17" s="916"/>
      <c r="H17" s="916"/>
    </row>
    <row r="18" spans="1:8" ht="27" customHeight="1">
      <c r="A18" s="777" t="s">
        <v>2024</v>
      </c>
      <c r="B18" s="777"/>
      <c r="C18" s="914" t="s">
        <v>2025</v>
      </c>
      <c r="D18" s="777"/>
      <c r="E18" s="777"/>
      <c r="F18" s="916"/>
      <c r="G18" s="916"/>
      <c r="H18" s="916"/>
    </row>
    <row r="19" spans="1:8" ht="54" customHeight="1">
      <c r="A19" s="777" t="s">
        <v>2026</v>
      </c>
      <c r="B19" s="777"/>
      <c r="C19" s="914" t="s">
        <v>2027</v>
      </c>
      <c r="D19" s="777"/>
      <c r="E19" s="777"/>
      <c r="F19" s="916"/>
      <c r="G19" s="916"/>
      <c r="H19" s="916"/>
    </row>
    <row r="20" spans="1:8" ht="36" customHeight="1">
      <c r="A20" s="777" t="s">
        <v>2028</v>
      </c>
      <c r="B20" s="777"/>
      <c r="C20" s="914" t="s">
        <v>2029</v>
      </c>
      <c r="D20" s="777"/>
      <c r="E20" s="777"/>
      <c r="F20" s="916"/>
      <c r="G20" s="916"/>
      <c r="H20" s="916"/>
    </row>
    <row r="21" spans="1:8" ht="36" customHeight="1">
      <c r="A21" s="777" t="s">
        <v>2030</v>
      </c>
      <c r="B21" s="777"/>
      <c r="C21" s="914" t="s">
        <v>2031</v>
      </c>
      <c r="D21" s="777"/>
      <c r="E21" s="777"/>
      <c r="F21" s="916"/>
      <c r="G21" s="916"/>
      <c r="H21" s="916"/>
    </row>
    <row r="22" spans="1:8" ht="27" customHeight="1">
      <c r="A22" s="777" t="s">
        <v>2032</v>
      </c>
      <c r="B22" s="777"/>
      <c r="C22" s="914" t="s">
        <v>2033</v>
      </c>
      <c r="D22" s="777"/>
      <c r="E22" s="777"/>
      <c r="F22" s="916"/>
      <c r="G22" s="916"/>
      <c r="H22" s="916"/>
    </row>
    <row r="23" spans="1:8" ht="36" customHeight="1">
      <c r="A23" s="777" t="s">
        <v>2034</v>
      </c>
      <c r="B23" s="777"/>
      <c r="C23" s="914" t="s">
        <v>2035</v>
      </c>
      <c r="D23" s="777"/>
      <c r="E23" s="777"/>
      <c r="F23" s="916"/>
      <c r="G23" s="916"/>
      <c r="H23" s="916"/>
    </row>
    <row r="24" spans="1:8" ht="28.5" customHeight="1">
      <c r="A24" s="777" t="s">
        <v>2036</v>
      </c>
      <c r="B24" s="777"/>
      <c r="C24" s="914" t="s">
        <v>2037</v>
      </c>
      <c r="D24" s="777"/>
      <c r="E24" s="777"/>
      <c r="F24" s="916"/>
      <c r="G24" s="916"/>
      <c r="H24" s="916"/>
    </row>
    <row r="25" spans="1:8" ht="36" customHeight="1">
      <c r="A25" s="777" t="s">
        <v>2038</v>
      </c>
      <c r="B25" s="777"/>
      <c r="C25" s="914" t="s">
        <v>2039</v>
      </c>
      <c r="D25" s="777"/>
      <c r="E25" s="777"/>
      <c r="F25" s="916"/>
      <c r="G25" s="916"/>
      <c r="H25" s="916"/>
    </row>
    <row r="26" spans="1:8" ht="27" customHeight="1">
      <c r="A26" s="777" t="s">
        <v>2040</v>
      </c>
      <c r="B26" s="777"/>
      <c r="C26" s="914" t="s">
        <v>2041</v>
      </c>
      <c r="D26" s="777"/>
      <c r="E26" s="777"/>
      <c r="F26" s="916"/>
      <c r="G26" s="916"/>
      <c r="H26" s="916"/>
    </row>
    <row r="27" spans="1:8" ht="36" customHeight="1">
      <c r="A27" s="777" t="s">
        <v>2042</v>
      </c>
      <c r="B27" s="777"/>
      <c r="C27" s="914" t="s">
        <v>2043</v>
      </c>
      <c r="D27" s="777"/>
      <c r="E27" s="777"/>
      <c r="F27" s="916"/>
      <c r="G27" s="916"/>
      <c r="H27" s="916"/>
    </row>
    <row r="28" spans="1:8" ht="28.5" customHeight="1">
      <c r="A28" s="777" t="s">
        <v>2044</v>
      </c>
      <c r="B28" s="777"/>
      <c r="C28" s="914" t="s">
        <v>2045</v>
      </c>
      <c r="D28" s="777"/>
      <c r="E28" s="777"/>
      <c r="F28" s="916"/>
      <c r="G28" s="916"/>
      <c r="H28" s="916"/>
    </row>
    <row r="29" spans="1:8" ht="126" customHeight="1">
      <c r="A29" s="777" t="s">
        <v>2046</v>
      </c>
      <c r="B29" s="777" t="s">
        <v>1615</v>
      </c>
      <c r="C29" s="914" t="str">
        <f>IF(TEMPLATE_SPHERE="HEAT",D29,IF(TEMPLATE_SPHERE="TKO",H29,E29))</f>
        <v>Форма 17. Информация о способах приобретения, стоимости и об объемах товаров, необходимых регулируемой организации для производства товаров (оказания услуг) в сфере теплоснабжения, цены (тарифы) на которые подлежат регулированию, о способах приобретения, стоимости и об объемах товаров, необходимых для производства товаров и (или) оказания услуг единой теплоснабжающей организацией в ценовых зонах теплоснабжения, о способах приобретения, стоимости и об объемах товаров, необходимых для производства товаров и (или) оказания услуг теплоснабжающей организацией в ценовых зонах теплоснабжения и теплосетевой организацией в ценовых зонах теплоснабжения</v>
      </c>
      <c r="D29" s="777" t="s">
        <v>2047</v>
      </c>
      <c r="E29" s="780" t="str">
        <f>"Форма 11. Информация о способах приобретения, стоимости и об объемах товаров (работ, услуг), необходимых организации "&amp;TEMPLATE_SPHERE_RUS&amp;" для производства товаров (оказания услуг) в сфере "&amp;TEMPLATE_SPHERE_RUS&amp;", тарифы на которые подлежат регулированию"</f>
        <v>Форма 11. Информация о способах приобретения, стоимости и об объемах товаров (работ, услуг), необходимых организации теплоснабжения для производства товаров (оказания услуг) в сфере теплоснабжения, тарифы на которые подлежат регулированию</v>
      </c>
      <c r="F29" s="916"/>
      <c r="G29" s="916"/>
      <c r="H29" s="777" t="s">
        <v>2048</v>
      </c>
    </row>
    <row r="30" spans="1:8" ht="36" customHeight="1">
      <c r="A30" s="777" t="s">
        <v>2049</v>
      </c>
      <c r="B30" s="777"/>
      <c r="C30" s="914" t="str">
        <f>IF(TEMPLATE_SPHERE="HEAT",D30,IF(TEMPLATE_SPHERE="TKO",H30,E30))</f>
        <v>Форма 16. Информация о порядке выполнения технологических, технических и других мероприятий, связанных с подключением (технологическим присоединением) к системе теплоснабжения</v>
      </c>
      <c r="D30" s="777" t="s">
        <v>2050</v>
      </c>
      <c r="E30" s="780" t="str">
        <f>"Форма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"&amp;TEMPLATE_SPHERE_RUS</f>
        <v>Форма 10. Информация о порядке выполнения технологических, технических и других мероприятий, связанных с подключением (технологическим присоединением) к централизованной системе теплоснабжения</v>
      </c>
      <c r="F30" s="916"/>
      <c r="G30" s="916"/>
      <c r="H30" s="916"/>
    </row>
    <row r="31" spans="1:8" ht="54" customHeight="1">
      <c r="A31" s="777" t="s">
        <v>2051</v>
      </c>
      <c r="B31" s="777"/>
      <c r="C31" s="914" t="str">
        <f>IF(TEMPLATE_SPHERE="HEAT",D31,IF(TEMPLATE_SPHERE="TKO",H31,E31))</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D31" s="777" t="s">
        <v>2052</v>
      </c>
      <c r="E31" s="780" t="str">
        <f>"Форма 1. Информация об организации, осуществляющей "&amp;TEMPLATE_SPHERE_RUS_2&amp;" (общая информация)"</f>
        <v>Форма 1. Информация об организации, осуществляющей теплоснабжение (общая информация)</v>
      </c>
      <c r="F31" s="916"/>
      <c r="G31" s="916"/>
      <c r="H31" s="916"/>
    </row>
    <row r="32" spans="1:8" ht="198" customHeight="1">
      <c r="A32" s="777" t="s">
        <v>2053</v>
      </c>
      <c r="B32" s="777"/>
      <c r="C32" s="914" t="str">
        <f>IF(TEMPLATE_SPHERE="HEAT",D32,IF(TEMPLATE_SPHERE="TKO",H32,E32))</f>
        <v>Форма 13. Информация об инвестиционных программах регулируемой организации и отчетах об их исполнении, об инвестиционных программах единой теплоснабжающей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 об инвестиционных программах теплоснабжающей организации в ценовых зонах теплоснабжения и теплосетевой организации в ценовых зонах теплоснабжения, разрабатываемых и утверждаемых в отношении видов деятельности, при осуществлении которых расчеты за товары (услуги) в сфере теплоснабжения осуществляются по регулируемым ценам (тарифам) в сфере теплоснабжения (за исключением деятельности по подключению (технологическому присоединению) к системе теплоснабжения)</v>
      </c>
      <c r="D32" s="777" t="s">
        <v>2054</v>
      </c>
      <c r="E32" s="780" t="str">
        <f>"Форма 7. Информация об инвестиционных программах организации "&amp;TEMPLATE_SPHERE_RUS&amp;" и отчетах об их исполнении"</f>
        <v>Форма 7. Информация об инвестиционных программах организации теплоснабжения и отчетах об их исполнении</v>
      </c>
      <c r="F32" s="916"/>
      <c r="G32" s="916"/>
      <c r="H32" s="777" t="s">
        <v>2055</v>
      </c>
    </row>
    <row r="33" spans="1:8" ht="9" customHeight="1">
      <c r="A33" s="777"/>
      <c r="B33" s="777"/>
      <c r="C33" s="914"/>
      <c r="D33" s="777"/>
      <c r="E33" s="777"/>
      <c r="F33" s="916"/>
      <c r="G33" s="916"/>
      <c r="H33" s="916"/>
    </row>
    <row r="34" spans="1:8" ht="9" customHeight="1">
      <c r="A34" s="777"/>
      <c r="B34" s="777" t="s">
        <v>1551</v>
      </c>
      <c r="C34" s="914">
        <f>INDEX(TEMPLATE_NAME_FORM_LIST,B34,MATCH(TEMPLATE_SPHERE,TEMPLATE_SPHERE_LIST,0))</f>
        <v>0</v>
      </c>
      <c r="D34" s="777"/>
      <c r="E34" s="777"/>
      <c r="F34" s="916"/>
      <c r="G34" s="916"/>
      <c r="H34" s="916"/>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6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CC99"/>
  </sheetPr>
  <dimension ref="A1:AH154"/>
  <sheetViews>
    <sheetView showGridLines="0" workbookViewId="0"/>
  </sheetViews>
  <sheetFormatPr defaultColWidth="9.140625" defaultRowHeight="9" customHeight="1"/>
  <cols>
    <col min="1" max="2" width="9.140625" style="771"/>
    <col min="3" max="7" width="8" style="773" customWidth="1"/>
    <col min="8" max="12" width="8.5703125" style="773" customWidth="1"/>
    <col min="13" max="14" width="27.7109375" style="773" customWidth="1"/>
    <col min="15" max="19" width="5.140625" style="773" customWidth="1"/>
    <col min="20" max="24" width="27.7109375" style="773" customWidth="1"/>
    <col min="25" max="25" width="1.85546875" style="931" customWidth="1"/>
    <col min="26" max="26" width="27.7109375" style="771" customWidth="1"/>
    <col min="27" max="27" width="27.7109375" style="782" customWidth="1"/>
    <col min="28" max="29" width="27.7109375" style="771" customWidth="1"/>
    <col min="30" max="30" width="3.85546875" style="771" customWidth="1"/>
    <col min="31" max="34" width="9.140625" style="771"/>
  </cols>
  <sheetData>
    <row r="1" spans="1:34" s="770" customFormat="1" ht="18" customHeight="1">
      <c r="A1" s="828"/>
      <c r="B1" s="828"/>
      <c r="C1" s="828" t="s">
        <v>2056</v>
      </c>
      <c r="D1" s="828"/>
      <c r="E1" s="828"/>
      <c r="F1" s="828"/>
      <c r="G1" s="828"/>
      <c r="H1" s="828" t="s">
        <v>2057</v>
      </c>
      <c r="I1" s="828"/>
      <c r="J1" s="828"/>
      <c r="K1" s="828"/>
      <c r="L1" s="828"/>
      <c r="M1" s="828" t="s">
        <v>2058</v>
      </c>
      <c r="N1" s="828" t="s">
        <v>2059</v>
      </c>
      <c r="O1" s="3161" t="s">
        <v>2060</v>
      </c>
      <c r="P1" s="3161"/>
      <c r="Q1" s="3161"/>
      <c r="R1" s="3161"/>
      <c r="S1" s="3161"/>
      <c r="T1" s="3161" t="s">
        <v>2058</v>
      </c>
      <c r="U1" s="3161"/>
      <c r="V1" s="3161"/>
      <c r="W1" s="3161"/>
      <c r="X1" s="3161"/>
      <c r="Y1" s="929"/>
      <c r="Z1" s="3161" t="s">
        <v>2061</v>
      </c>
      <c r="AA1" s="3161"/>
      <c r="AB1" s="3161"/>
      <c r="AC1" s="3161"/>
      <c r="AD1" s="3161"/>
    </row>
    <row r="2" spans="1:34" ht="18" customHeight="1">
      <c r="A2" s="777"/>
      <c r="B2" s="777"/>
      <c r="C2" s="772" t="s">
        <v>853</v>
      </c>
      <c r="D2" s="772" t="s">
        <v>899</v>
      </c>
      <c r="E2" s="772" t="s">
        <v>952</v>
      </c>
      <c r="F2" s="772" t="s">
        <v>939</v>
      </c>
      <c r="G2" s="772" t="s">
        <v>1664</v>
      </c>
      <c r="H2" s="774"/>
      <c r="I2" s="774"/>
      <c r="J2" s="774"/>
      <c r="K2" s="774"/>
      <c r="L2" s="774"/>
      <c r="M2" s="774"/>
      <c r="N2" s="774"/>
      <c r="O2" s="772" t="s">
        <v>853</v>
      </c>
      <c r="P2" s="772" t="s">
        <v>899</v>
      </c>
      <c r="Q2" s="772" t="s">
        <v>939</v>
      </c>
      <c r="R2" s="772" t="s">
        <v>952</v>
      </c>
      <c r="S2" s="772" t="s">
        <v>1664</v>
      </c>
      <c r="T2" s="772" t="s">
        <v>853</v>
      </c>
      <c r="U2" s="772" t="s">
        <v>899</v>
      </c>
      <c r="V2" s="772" t="s">
        <v>939</v>
      </c>
      <c r="W2" s="772" t="s">
        <v>952</v>
      </c>
      <c r="X2" s="772" t="s">
        <v>1664</v>
      </c>
      <c r="Y2" s="772"/>
      <c r="Z2" s="772" t="s">
        <v>853</v>
      </c>
      <c r="AA2" s="781" t="s">
        <v>899</v>
      </c>
      <c r="AB2" s="772" t="s">
        <v>939</v>
      </c>
      <c r="AC2" s="772" t="s">
        <v>952</v>
      </c>
      <c r="AD2" s="772" t="s">
        <v>1664</v>
      </c>
    </row>
    <row r="3" spans="1:34" ht="162" customHeight="1">
      <c r="A3" s="776" t="s">
        <v>28</v>
      </c>
      <c r="B3" s="776"/>
      <c r="C3" s="3165" t="s">
        <v>2062</v>
      </c>
      <c r="D3" s="3166"/>
      <c r="E3" s="3166"/>
      <c r="F3" s="3167"/>
      <c r="G3" s="774"/>
      <c r="H3" s="774"/>
      <c r="I3" s="774"/>
      <c r="J3" s="774"/>
      <c r="K3" s="774"/>
      <c r="L3" s="774"/>
      <c r="M3" s="774"/>
      <c r="N3" s="775" t="str">
        <f>INDEX(TEMPLATE_ORG_DATA_POINT,1,MATCH(TEMPLATE_SPHERE,TEMPLATE_SPHERE_LIST_FOR_NOTE,0))</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O3" s="774"/>
      <c r="P3" s="774"/>
      <c r="Q3" s="774"/>
      <c r="R3" s="774"/>
      <c r="S3" s="774"/>
      <c r="T3" s="774"/>
      <c r="U3" s="774"/>
      <c r="V3" s="774"/>
      <c r="W3" s="774"/>
      <c r="X3" s="774"/>
      <c r="Y3" s="930"/>
      <c r="Z3" s="777" t="s">
        <v>2063</v>
      </c>
      <c r="AA3" s="774" t="s">
        <v>2064</v>
      </c>
      <c r="AB3" s="777" t="s">
        <v>2065</v>
      </c>
      <c r="AC3" s="777" t="s">
        <v>2066</v>
      </c>
      <c r="AD3" s="777"/>
      <c r="AG3" s="777"/>
      <c r="AH3" s="777"/>
    </row>
    <row r="4" spans="1:34" ht="9" customHeight="1">
      <c r="A4" s="776"/>
      <c r="B4" s="776"/>
      <c r="C4" s="774"/>
      <c r="D4" s="774"/>
      <c r="E4" s="774"/>
      <c r="F4" s="774"/>
      <c r="G4" s="774"/>
      <c r="H4" s="774"/>
      <c r="I4" s="774"/>
      <c r="J4" s="774"/>
      <c r="K4" s="774"/>
      <c r="L4" s="774"/>
      <c r="M4" s="774"/>
      <c r="N4" s="774"/>
      <c r="O4" s="774"/>
      <c r="P4" s="774"/>
      <c r="Q4" s="774"/>
      <c r="R4" s="774"/>
      <c r="S4" s="774"/>
      <c r="T4" s="774"/>
      <c r="U4" s="774"/>
      <c r="V4" s="774"/>
      <c r="W4" s="774"/>
      <c r="X4" s="774"/>
      <c r="Y4" s="930"/>
      <c r="Z4" s="777"/>
      <c r="AA4" s="780"/>
      <c r="AB4" s="777"/>
      <c r="AC4" s="777"/>
      <c r="AD4" s="777"/>
    </row>
    <row r="5" spans="1:34" ht="9" customHeight="1">
      <c r="A5" s="776"/>
      <c r="B5" s="776"/>
      <c r="C5" s="774"/>
      <c r="D5" s="774"/>
      <c r="E5" s="774"/>
      <c r="F5" s="774"/>
      <c r="G5" s="774"/>
      <c r="H5" s="774"/>
      <c r="I5" s="774"/>
      <c r="J5" s="774"/>
      <c r="K5" s="774"/>
      <c r="L5" s="774"/>
      <c r="M5" s="774"/>
      <c r="N5" s="774"/>
      <c r="O5" s="774"/>
      <c r="P5" s="774"/>
      <c r="Q5" s="774"/>
      <c r="R5" s="774"/>
      <c r="S5" s="774"/>
      <c r="T5" s="774"/>
      <c r="U5" s="774"/>
      <c r="V5" s="774"/>
      <c r="W5" s="774"/>
      <c r="X5" s="774"/>
      <c r="Y5" s="930"/>
      <c r="Z5" s="777"/>
      <c r="AA5" s="780"/>
      <c r="AB5" s="777"/>
      <c r="AC5" s="777"/>
      <c r="AD5" s="777"/>
    </row>
    <row r="6" spans="1:34" ht="9" customHeight="1">
      <c r="A6" s="776"/>
      <c r="B6" s="776"/>
      <c r="C6" s="774"/>
      <c r="D6" s="774"/>
      <c r="E6" s="774"/>
      <c r="F6" s="774"/>
      <c r="G6" s="774"/>
      <c r="H6" s="774"/>
      <c r="I6" s="774"/>
      <c r="J6" s="774"/>
      <c r="K6" s="774"/>
      <c r="L6" s="774"/>
      <c r="M6" s="774"/>
      <c r="N6" s="774"/>
      <c r="O6" s="774"/>
      <c r="P6" s="774"/>
      <c r="Q6" s="774"/>
      <c r="R6" s="774"/>
      <c r="S6" s="774"/>
      <c r="T6" s="774"/>
      <c r="U6" s="774"/>
      <c r="V6" s="774"/>
      <c r="W6" s="774"/>
      <c r="X6" s="774"/>
      <c r="Y6" s="930"/>
      <c r="Z6" s="777"/>
      <c r="AA6" s="780"/>
      <c r="AB6" s="777"/>
      <c r="AC6" s="777"/>
      <c r="AD6" s="777"/>
    </row>
    <row r="7" spans="1:34" ht="9" customHeight="1">
      <c r="A7" s="776"/>
      <c r="B7" s="776"/>
      <c r="C7" s="774"/>
      <c r="D7" s="774"/>
      <c r="E7" s="774"/>
      <c r="F7" s="774"/>
      <c r="G7" s="774"/>
      <c r="H7" s="774"/>
      <c r="I7" s="774"/>
      <c r="J7" s="774"/>
      <c r="K7" s="774"/>
      <c r="L7" s="774"/>
      <c r="M7" s="774"/>
      <c r="N7" s="774"/>
      <c r="O7" s="774"/>
      <c r="P7" s="774"/>
      <c r="Q7" s="774"/>
      <c r="R7" s="774"/>
      <c r="S7" s="774"/>
      <c r="T7" s="774"/>
      <c r="U7" s="774"/>
      <c r="V7" s="774"/>
      <c r="W7" s="774"/>
      <c r="X7" s="774"/>
      <c r="Y7" s="930"/>
      <c r="Z7" s="777"/>
      <c r="AA7" s="780"/>
      <c r="AB7" s="777"/>
      <c r="AC7" s="777"/>
      <c r="AD7" s="777"/>
    </row>
    <row r="8" spans="1:34" ht="9" customHeight="1">
      <c r="A8" s="776"/>
      <c r="B8" s="776"/>
      <c r="C8" s="774"/>
      <c r="D8" s="774"/>
      <c r="E8" s="774"/>
      <c r="F8" s="774"/>
      <c r="G8" s="774"/>
      <c r="H8" s="774"/>
      <c r="I8" s="774"/>
      <c r="J8" s="774"/>
      <c r="K8" s="774"/>
      <c r="L8" s="774"/>
      <c r="M8" s="774"/>
      <c r="N8" s="774"/>
      <c r="O8" s="774"/>
      <c r="P8" s="774"/>
      <c r="Q8" s="774"/>
      <c r="R8" s="774"/>
      <c r="S8" s="774"/>
      <c r="T8" s="774"/>
      <c r="U8" s="774"/>
      <c r="V8" s="774"/>
      <c r="W8" s="774"/>
      <c r="X8" s="774"/>
      <c r="Y8" s="930"/>
      <c r="Z8" s="777"/>
      <c r="AA8" s="780"/>
      <c r="AB8" s="777"/>
      <c r="AC8" s="777"/>
      <c r="AD8" s="777"/>
    </row>
    <row r="9" spans="1:34" ht="9" customHeight="1">
      <c r="A9" s="776"/>
      <c r="B9" s="776"/>
      <c r="C9" s="774"/>
      <c r="D9" s="774"/>
      <c r="E9" s="774"/>
      <c r="F9" s="774"/>
      <c r="G9" s="774"/>
      <c r="H9" s="774"/>
      <c r="I9" s="774"/>
      <c r="J9" s="774"/>
      <c r="K9" s="774"/>
      <c r="L9" s="774"/>
      <c r="M9" s="774"/>
      <c r="N9" s="774"/>
      <c r="O9" s="774"/>
      <c r="P9" s="774"/>
      <c r="Q9" s="774"/>
      <c r="R9" s="774"/>
      <c r="S9" s="774"/>
      <c r="T9" s="774"/>
      <c r="U9" s="774"/>
      <c r="V9" s="774"/>
      <c r="W9" s="774"/>
      <c r="X9" s="774"/>
      <c r="Y9" s="930"/>
      <c r="Z9" s="777"/>
      <c r="AA9" s="780"/>
      <c r="AB9" s="777"/>
      <c r="AC9" s="777"/>
      <c r="AD9" s="777"/>
    </row>
    <row r="10" spans="1:34" ht="9" customHeight="1">
      <c r="A10" s="829"/>
      <c r="B10" s="829"/>
      <c r="C10" s="829"/>
      <c r="D10" s="829"/>
      <c r="E10" s="829"/>
      <c r="F10" s="829"/>
      <c r="G10" s="829"/>
      <c r="H10" s="829"/>
      <c r="I10" s="829"/>
      <c r="J10" s="829"/>
      <c r="K10" s="829"/>
      <c r="L10" s="829"/>
      <c r="M10" s="829"/>
      <c r="N10" s="829"/>
      <c r="O10" s="829"/>
      <c r="P10" s="829"/>
      <c r="Q10" s="829"/>
      <c r="R10" s="829"/>
      <c r="S10" s="829"/>
      <c r="T10" s="829"/>
      <c r="U10" s="829"/>
      <c r="V10" s="829"/>
      <c r="W10" s="829"/>
      <c r="X10" s="829"/>
      <c r="Y10" s="829"/>
      <c r="Z10" s="829"/>
      <c r="AA10" s="829"/>
      <c r="AB10" s="829"/>
      <c r="AC10" s="829"/>
      <c r="AD10" s="829"/>
    </row>
    <row r="11" spans="1:34" ht="45" customHeight="1">
      <c r="A11" s="3162" t="s">
        <v>35</v>
      </c>
      <c r="B11" s="829">
        <v>1</v>
      </c>
      <c r="C11" s="3168" t="s">
        <v>1602</v>
      </c>
      <c r="D11" s="3168" t="s">
        <v>1598</v>
      </c>
      <c r="E11" s="3168" t="s">
        <v>1697</v>
      </c>
      <c r="F11" s="3168" t="s">
        <v>2067</v>
      </c>
      <c r="G11" s="3168"/>
      <c r="H11" s="828" t="s">
        <v>2068</v>
      </c>
      <c r="I11" s="828"/>
      <c r="J11" s="828"/>
      <c r="K11" s="828"/>
      <c r="L11" s="828"/>
      <c r="M11" s="775" t="str">
        <f>IF(TEMPLATE_SPHERE="HEAT",T11,U11)</f>
        <v>Количество поданных заявок</v>
      </c>
      <c r="N11" s="775" t="str">
        <f t="shared" ref="N11:N16" si="0">IF(TEMPLATE_SPHERE="HEAT",Z11,AA11)</f>
        <v>Указывается количество поданных заявок на подключение (технологическое присоединение) к системе теплоснабжения в течение отчетного квартала.</v>
      </c>
      <c r="O11" s="774"/>
      <c r="P11" s="774"/>
      <c r="Q11" s="774"/>
      <c r="R11" s="774"/>
      <c r="S11" s="774"/>
      <c r="T11" s="774" t="s">
        <v>2069</v>
      </c>
      <c r="U11" s="774" t="s">
        <v>2070</v>
      </c>
      <c r="V11" s="774"/>
      <c r="W11" s="774"/>
      <c r="X11" s="774"/>
      <c r="Y11" s="930"/>
      <c r="Z11" s="777" t="s">
        <v>2071</v>
      </c>
      <c r="AA11" s="780" t="str">
        <f>"Указывается количество поданных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поданных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1" s="777"/>
      <c r="AC11" s="777"/>
      <c r="AD11" s="777"/>
    </row>
    <row r="12" spans="1:34" ht="45" customHeight="1">
      <c r="A12" s="3162"/>
      <c r="B12" s="829">
        <v>2</v>
      </c>
      <c r="C12" s="3169"/>
      <c r="D12" s="3169"/>
      <c r="E12" s="3169"/>
      <c r="F12" s="3169"/>
      <c r="G12" s="3169"/>
      <c r="H12" s="828" t="s">
        <v>2072</v>
      </c>
      <c r="I12" s="828"/>
      <c r="J12" s="828"/>
      <c r="K12" s="828"/>
      <c r="L12" s="828"/>
      <c r="M12" s="775" t="str">
        <f>IF(TEMPLATE_SPHERE="HEAT",T12,U12)</f>
        <v>Количество рассмотренных заявок</v>
      </c>
      <c r="N12" s="775" t="str">
        <f t="shared" si="0"/>
        <v>Указывается количество исполненных заявок на подключение (технологическое присоединение) к системе теплоснабжения в течение отчетного квартала.</v>
      </c>
      <c r="O12" s="774"/>
      <c r="P12" s="774"/>
      <c r="Q12" s="774"/>
      <c r="R12" s="774"/>
      <c r="S12" s="774"/>
      <c r="T12" s="774" t="s">
        <v>2073</v>
      </c>
      <c r="U12" s="774" t="s">
        <v>2074</v>
      </c>
      <c r="V12" s="774"/>
      <c r="W12" s="774"/>
      <c r="X12" s="774"/>
      <c r="Y12" s="930"/>
      <c r="Z12" s="777" t="s">
        <v>2075</v>
      </c>
      <c r="AA12" s="780" t="str">
        <f>"Указывается количество исполненных заявлений о заключении договоров о подключении (технологическом присоединении) к централизованной системе "&amp;TEMPLATE_SPHERE_RUS&amp;" в течение одного квартала."</f>
        <v>Указывается количество исполненных заявлений о заключении договоров о подключении (технологическом присоединении) к централизованной системе теплоснабжения в течение одного квартала.</v>
      </c>
      <c r="AB12" s="777"/>
      <c r="AC12" s="777"/>
      <c r="AD12" s="777"/>
    </row>
    <row r="13" spans="1:34" ht="72" customHeight="1">
      <c r="A13" s="3162"/>
      <c r="B13" s="829">
        <v>3</v>
      </c>
      <c r="C13" s="3169"/>
      <c r="D13" s="3169"/>
      <c r="E13" s="3169"/>
      <c r="F13" s="3169"/>
      <c r="G13" s="3169"/>
      <c r="H13" s="3161" t="s">
        <v>2076</v>
      </c>
      <c r="I13" s="828"/>
      <c r="J13" s="828"/>
      <c r="K13" s="828"/>
      <c r="L13" s="828"/>
      <c r="M13" s="775" t="str">
        <f>IF(TEMPLATE_SPHERE="HEAT",T13,U13)</f>
        <v>Количество заявок на заключение договора о подключении (технологическом присоединении) к системе теплоснабжения, по которым регулируемой организацией отказано в заключении договора о подключении (технологическом присоединении) к системе теплоснабжения</v>
      </c>
      <c r="N13" s="775" t="str">
        <f t="shared" si="0"/>
        <v>Указывается количество заявок с решением об отказе в течение отчетного квартала.</v>
      </c>
      <c r="O13" s="774"/>
      <c r="P13" s="775"/>
      <c r="Q13" s="775"/>
      <c r="R13" s="775"/>
      <c r="S13" s="774"/>
      <c r="T13" s="774" t="s">
        <v>2077</v>
      </c>
      <c r="U13" s="775" t="s">
        <v>2078</v>
      </c>
      <c r="V13" s="775"/>
      <c r="W13" s="775"/>
      <c r="X13" s="774"/>
      <c r="Y13" s="930"/>
      <c r="Z13" s="777" t="s">
        <v>2079</v>
      </c>
      <c r="AA13" s="780" t="str">
        <f>"Указывается количество заявлений о заключении договоров о подключении (технологическом присоединении) к централизованной системе "&amp;TEMPLATE_SPHERE_RUS&amp;", по которым организацией "&amp;TEMPLATE_SPHERE_RUS&amp;" отказано в заключении договора о подключении (технологическом присоединении) к централизованной системе "&amp;TEMPLATE_SPHERE_RUS&amp;" с указанием причин, в течение одного квартала."</f>
        <v>Указывается количество заявлений о заключении договоров о подключении (технологическом присоединении) к централизованной системе теплоснабжения, по которым организацией теплоснабжения отказано в заключении договора о подключении (технологическом присоединении) к централизованной системе теплоснабжения с указанием причин, в течение одного квартала.</v>
      </c>
      <c r="AB13" s="777"/>
      <c r="AC13" s="777"/>
      <c r="AD13" s="777"/>
    </row>
    <row r="14" spans="1:34" ht="45" customHeight="1">
      <c r="A14" s="3162"/>
      <c r="B14" s="829">
        <v>4</v>
      </c>
      <c r="C14" s="3169"/>
      <c r="D14" s="3169"/>
      <c r="E14" s="3169"/>
      <c r="F14" s="3169"/>
      <c r="G14" s="3169"/>
      <c r="H14" s="3161"/>
      <c r="I14" s="831"/>
      <c r="J14" s="831"/>
      <c r="K14" s="831"/>
      <c r="L14" s="831"/>
      <c r="M14" s="778" t="str">
        <f>IF(TEMPLATE_SPHERE="HEAT",T14,U14)</f>
        <v>Причины отказа в заключении договора о подключении (технологическом присоединении) к системе теплоснабжения</v>
      </c>
      <c r="N14" s="775" t="str">
        <f t="shared" si="0"/>
        <v>Указывается текстовое описание причин принятия решений._x000D_
Не заполняется в случае, если решения об отказе в течение отчетного периода не принимались.</v>
      </c>
      <c r="O14" s="774"/>
      <c r="P14" s="775"/>
      <c r="Q14" s="775"/>
      <c r="R14" s="775"/>
      <c r="S14" s="774"/>
      <c r="T14" s="774" t="s">
        <v>2080</v>
      </c>
      <c r="U14" s="775" t="str">
        <f>"Причины отказа в заключении договора о подключении (технологическом присоединении) к централизованной системе "&amp;TEMPLATE_SPHERE_RUS</f>
        <v>Причины отказа в заключении договора о подключении (технологическом присоединении) к централизованной системе теплоснабжения</v>
      </c>
      <c r="V14" s="775"/>
      <c r="W14" s="775"/>
      <c r="X14" s="774"/>
      <c r="Y14" s="930"/>
      <c r="Z14" s="777" t="s">
        <v>2081</v>
      </c>
      <c r="AA14" s="780" t="s">
        <v>2081</v>
      </c>
      <c r="AB14" s="777"/>
      <c r="AC14" s="777"/>
      <c r="AD14" s="777"/>
    </row>
    <row r="15" spans="1:34" ht="108" customHeight="1">
      <c r="A15" s="3162"/>
      <c r="B15" s="829">
        <v>5</v>
      </c>
      <c r="C15" s="3169"/>
      <c r="D15" s="3169"/>
      <c r="E15" s="3169"/>
      <c r="F15" s="3169"/>
      <c r="G15" s="3169"/>
      <c r="H15" s="3163" t="s">
        <v>2082</v>
      </c>
      <c r="I15" s="830"/>
      <c r="J15" s="830"/>
      <c r="K15" s="830"/>
      <c r="L15" s="830"/>
      <c r="M15" s="780" t="str">
        <f>IF(TEMPLATE_SPHERE="HEAT",T15,U15)</f>
        <v>Резерв мощности источников тепловой энергии, входящих в систему теплоснабжения, в течение одного квартала, в том числе:</v>
      </c>
      <c r="N15"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5" s="774"/>
      <c r="P15" s="775"/>
      <c r="Q15" s="775"/>
      <c r="R15" s="775"/>
      <c r="S15" s="774"/>
      <c r="T15" s="774" t="s">
        <v>2083</v>
      </c>
      <c r="U15" s="775" t="str">
        <f>"Наличие свободной мощности (резерва мощности) на соответствующих объектах централизованных систем "&amp;TEMPLATE_SPHERE_RUS&amp;" в течение одного квартала, в том числе:"</f>
        <v>Наличие свободной мощности (резерва мощности) на соответствующих объектах централизованных систем теплоснабжения в течение одного квартала, в том числе:</v>
      </c>
      <c r="V15" s="775"/>
      <c r="W15" s="775"/>
      <c r="X15" s="774"/>
      <c r="Y15" s="930"/>
      <c r="Z15" s="777" t="s">
        <v>2084</v>
      </c>
      <c r="AA15" s="780" t="str">
        <f>"Указывается наличие свободной мощности (резерв мощности) на соответствующих объектах централизованной системы "&amp;TEMPLATE_SPHERE_RUS&amp;" (совокупности централизованных систем "&amp;TEMPLATE_SPHERE_RUS&amp;") в случае, если для них установлены одинаковые тарифы в сфере "&amp;TEMPLATE_SPHERE_RUS&amp;".
В случае если регулируемыми организациями оказываются услуги "&amp;TEMPLATE_SPHERE_RUS&amp;" по нескольким технологически не связанным между собой централизованным системам "&amp;TEMPLATE_SPHERE_RUS&amp;", и если в отношении указанных систем устанавливаются различные тарифы в сфере "&amp;TEMPLATE_SPHERE_RUS&amp;", то информация раскрывается отдельно по каждой централизованной системе "&amp;TEMPLATE_SPHERE_RUS&amp;"."</f>
        <v>Указывается наличие свободной мощности (резерв мощности) на соответствующих объектах централизованной системы теплоснабжения (совокупности централизованных систем теплоснабжения) в случае, если для них установлены одинаковые тарифы в сфере теплоснабжения.
В случае если регулируемыми организациями оказываются услуги теплоснабжения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AB15" s="777"/>
      <c r="AC15" s="777"/>
      <c r="AD15" s="777"/>
    </row>
    <row r="16" spans="1:34" ht="108" customHeight="1">
      <c r="A16" s="829"/>
      <c r="B16" s="829">
        <v>6</v>
      </c>
      <c r="C16" s="3170"/>
      <c r="D16" s="3170"/>
      <c r="E16" s="3170"/>
      <c r="F16" s="3170"/>
      <c r="G16" s="3170"/>
      <c r="H16" s="3164"/>
      <c r="I16" s="892"/>
      <c r="J16" s="892"/>
      <c r="K16" s="892"/>
      <c r="L16" s="892"/>
      <c r="M16" s="822"/>
      <c r="N16" s="779" t="str">
        <f t="shared" si="0"/>
        <v xml:space="preserve">Указывается резерв мощности для системы теплоснабжения, тариф для которой не является отличным от тарифов других систем теплоснабжения регулируемой организации._x000D_
При использовании регулируемой организацией нескольких систем теплоснабжения информация о резерве мощности источников тепловой энергии таких систем раскрывается в отношении каждой системы теплоснабжения в отдельных строках. </v>
      </c>
      <c r="O16" s="774"/>
      <c r="P16" s="775"/>
      <c r="Q16" s="775"/>
      <c r="R16" s="775"/>
      <c r="S16" s="774"/>
      <c r="T16" s="774"/>
      <c r="U16" s="775"/>
      <c r="V16" s="775"/>
      <c r="W16" s="775"/>
      <c r="X16" s="774"/>
      <c r="Y16" s="930"/>
      <c r="Z16" s="777" t="s">
        <v>2084</v>
      </c>
      <c r="AA16" s="780" t="str">
        <f>"Указывается наличие свободной мощности (резерв мощности) для централизованной системы "&amp;TEMPLATE_SPHERE_RUS&amp;", тариф для которой не является отличным от тарифов других централизованных систем "&amp;TEMPLATE_SPHERE_RUS&amp;" регулируемой организации.
При использовании регулируемой организацией нескольких централизованных систем "&amp;TEMPLATE_SPHERE_RUS&amp;" информация о наличии свободной мощности (резерве мощности) на соответствующих объектах централизованных систем "&amp;TEMPLATE_SPHERE_RUS&amp;" публикуется в отношении каждой централизованной системы "&amp;TEMPLATE_SPHERE_RUS&amp;" в отдельных строках."</f>
        <v>Указывается наличие свободной мощности (резерв мощности) для централизованной системы теплоснабжения, тариф для которой не является отличным от тарифов других централизованных систем теплоснабжения регулируемой организации.
При использовании регулируемой организацией нескольких централизованных систем теплоснабжения информация о наличии свободной мощности (резерве мощности) на соответствующих объектах централизованных систем теплоснабжения публикуется в отношении каждой централизованной системы теплоснабжения в отдельных строках.</v>
      </c>
      <c r="AB16" s="777"/>
      <c r="AC16" s="777"/>
      <c r="AD16" s="777"/>
    </row>
    <row r="17" spans="1:30" ht="9" customHeight="1">
      <c r="A17" s="829"/>
      <c r="B17" s="829"/>
      <c r="C17" s="829">
        <v>22</v>
      </c>
      <c r="D17" s="829">
        <v>21</v>
      </c>
      <c r="E17" s="829">
        <v>42</v>
      </c>
      <c r="F17" s="829">
        <v>63</v>
      </c>
      <c r="G17" s="829"/>
      <c r="H17" s="829"/>
      <c r="I17" s="829"/>
      <c r="J17" s="829"/>
      <c r="K17" s="829"/>
      <c r="L17" s="829"/>
      <c r="M17" s="829"/>
      <c r="N17" s="829"/>
      <c r="O17" s="829"/>
      <c r="P17" s="829"/>
      <c r="Q17" s="829"/>
      <c r="R17" s="829"/>
      <c r="S17" s="829"/>
      <c r="T17" s="829"/>
      <c r="U17" s="829"/>
      <c r="V17" s="829"/>
      <c r="W17" s="829"/>
      <c r="X17" s="829"/>
      <c r="Y17" s="829"/>
      <c r="Z17" s="829"/>
      <c r="AA17" s="829"/>
      <c r="AB17" s="829"/>
      <c r="AC17" s="829"/>
      <c r="AD17" s="829"/>
    </row>
    <row r="18" spans="1:30" ht="27" customHeight="1">
      <c r="A18" s="776" t="s">
        <v>1700</v>
      </c>
      <c r="B18" s="829">
        <v>1</v>
      </c>
      <c r="C18" s="774" t="s">
        <v>2068</v>
      </c>
      <c r="D18" s="897" t="s">
        <v>2068</v>
      </c>
      <c r="E18" s="774" t="s">
        <v>2068</v>
      </c>
      <c r="F18" s="774" t="s">
        <v>2068</v>
      </c>
      <c r="G18" s="774"/>
      <c r="H18" s="932"/>
      <c r="I18" s="935">
        <f t="shared" ref="I18:I49" si="1">INDEX(TEMPLATE_NUMBER_POINT_FHD,B18,MATCH(TEMPLATE_SPHERE,TEMPLATE_SPHERE_LIST_FOR_NOTE,0))</f>
        <v>1</v>
      </c>
      <c r="J18" s="935" t="str">
        <f t="shared" ref="J18:J49" si="2">INDEX(TEMPLATE_DATA_POINT_FHD,B18,MATCH(TEMPLATE_SPHERE,TEMPLATE_SPHERE_LIST_FOR_NOTE,0))</f>
        <v>Выручка от регулируемого вида деятельности с распределением по видам деятельности</v>
      </c>
      <c r="K18" s="935" t="str">
        <f t="shared" ref="K18:K49" si="3">INDEX(TEMPLATE_NOTE_POINT_FHD,B18,MATCH(TEMPLATE_SPHERE,TEMPLATE_SPHERE_LIST_FOR_NOTE,0))</f>
        <v>Указывается выручка от регулируемого вида деятельности с распределением по видам деятельности.</v>
      </c>
      <c r="L18" s="775">
        <f t="shared" ref="L18:L49" si="4">IF(I18=0,"",I18)</f>
        <v>1</v>
      </c>
      <c r="M18" s="775" t="str">
        <f t="shared" ref="M18:M49" si="5">IF(J18=0,"",J18)</f>
        <v>Выручка от регулируемого вида деятельности с распределением по видам деятельности</v>
      </c>
      <c r="N18" s="775" t="str">
        <f t="shared" ref="N18:N49" si="6">IF(K18=0,"",K18)</f>
        <v>Указывается выручка от регулируемого вида деятельности с распределением по видам деятельности.</v>
      </c>
      <c r="O18" s="887">
        <v>1</v>
      </c>
      <c r="P18" s="887">
        <v>1</v>
      </c>
      <c r="Q18" s="887">
        <v>1</v>
      </c>
      <c r="R18" s="887">
        <v>1</v>
      </c>
      <c r="S18" s="887"/>
      <c r="T18" s="894" t="s">
        <v>2085</v>
      </c>
      <c r="U18" s="777" t="s">
        <v>2086</v>
      </c>
      <c r="V18" s="777" t="s">
        <v>2087</v>
      </c>
      <c r="W18" s="777" t="s">
        <v>2088</v>
      </c>
      <c r="X18" s="774"/>
      <c r="Y18" s="930"/>
      <c r="Z18" s="777" t="s">
        <v>2089</v>
      </c>
      <c r="AA18" s="780" t="s">
        <v>2090</v>
      </c>
      <c r="AB18" s="780" t="s">
        <v>2090</v>
      </c>
      <c r="AC18" s="780" t="s">
        <v>2090</v>
      </c>
      <c r="AD18" s="777"/>
    </row>
    <row r="19" spans="1:30" ht="36" customHeight="1">
      <c r="A19" s="776"/>
      <c r="B19" s="829">
        <v>2</v>
      </c>
      <c r="C19" s="774" t="s">
        <v>2072</v>
      </c>
      <c r="D19" s="897" t="s">
        <v>2072</v>
      </c>
      <c r="E19" s="774" t="s">
        <v>2072</v>
      </c>
      <c r="F19" s="774" t="s">
        <v>2072</v>
      </c>
      <c r="G19" s="774"/>
      <c r="H19" s="932"/>
      <c r="I19" s="935">
        <f t="shared" si="1"/>
        <v>2</v>
      </c>
      <c r="J19" s="935" t="str">
        <f t="shared" si="2"/>
        <v>Себестоимость производимых товаров (оказываемых услуг) по регулируемому виду деятельности, включая:</v>
      </c>
      <c r="K19" s="935" t="str">
        <f t="shared" si="3"/>
        <v>Указывается суммарная себестоимость производимых товаров.</v>
      </c>
      <c r="L19" s="775">
        <f t="shared" si="4"/>
        <v>2</v>
      </c>
      <c r="M19" s="775" t="str">
        <f t="shared" si="5"/>
        <v>Себестоимость производимых товаров (оказываемых услуг) по регулируемому виду деятельности, включая:</v>
      </c>
      <c r="N19" s="775" t="str">
        <f t="shared" si="6"/>
        <v>Указывается суммарная себестоимость производимых товаров.</v>
      </c>
      <c r="O19" s="887">
        <v>2</v>
      </c>
      <c r="P19" s="887">
        <v>2</v>
      </c>
      <c r="Q19" s="887">
        <v>2</v>
      </c>
      <c r="R19" s="887">
        <v>2</v>
      </c>
      <c r="S19" s="887"/>
      <c r="T19" s="894" t="s">
        <v>2091</v>
      </c>
      <c r="U19" s="777" t="s">
        <v>2092</v>
      </c>
      <c r="V19" s="777" t="s">
        <v>2093</v>
      </c>
      <c r="W19" s="777" t="s">
        <v>2094</v>
      </c>
      <c r="X19" s="774"/>
      <c r="Y19" s="930"/>
      <c r="Z19" s="777" t="s">
        <v>2095</v>
      </c>
      <c r="AA19" s="780" t="s">
        <v>2095</v>
      </c>
      <c r="AB19" s="780" t="s">
        <v>2095</v>
      </c>
      <c r="AC19" s="780" t="s">
        <v>2095</v>
      </c>
      <c r="AD19" s="777"/>
    </row>
    <row r="20" spans="1:30" ht="27" customHeight="1">
      <c r="A20" s="776"/>
      <c r="B20" s="829">
        <v>3</v>
      </c>
      <c r="C20" s="774">
        <v>1</v>
      </c>
      <c r="D20" s="897"/>
      <c r="E20" s="774"/>
      <c r="F20" s="774"/>
      <c r="G20" s="774"/>
      <c r="H20" s="932"/>
      <c r="I20" s="935" t="str">
        <f t="shared" si="1"/>
        <v>2.1</v>
      </c>
      <c r="J20" s="935" t="str">
        <f t="shared" si="2"/>
        <v>Расходы на приобретаемую тепловую энергию (мощность), теплоноситель</v>
      </c>
      <c r="K20" s="935">
        <f t="shared" si="3"/>
        <v>0</v>
      </c>
      <c r="L20" s="775" t="str">
        <f t="shared" si="4"/>
        <v>2.1</v>
      </c>
      <c r="M20" s="775" t="str">
        <f t="shared" si="5"/>
        <v>Расходы на приобретаемую тепловую энергию (мощность), теплоноситель</v>
      </c>
      <c r="N20" s="775" t="str">
        <f t="shared" si="6"/>
        <v/>
      </c>
      <c r="O20" s="887" t="s">
        <v>754</v>
      </c>
      <c r="P20" s="887" t="s">
        <v>754</v>
      </c>
      <c r="Q20" s="887" t="s">
        <v>754</v>
      </c>
      <c r="R20" s="887" t="s">
        <v>754</v>
      </c>
      <c r="S20" s="887"/>
      <c r="T20" s="894" t="s">
        <v>2096</v>
      </c>
      <c r="U20" s="777" t="s">
        <v>2097</v>
      </c>
      <c r="V20" s="777" t="s">
        <v>2098</v>
      </c>
      <c r="W20" s="777" t="s">
        <v>2099</v>
      </c>
      <c r="X20" s="774"/>
      <c r="Y20" s="930"/>
      <c r="Z20" s="777"/>
      <c r="AA20" s="780"/>
      <c r="AB20" s="777"/>
      <c r="AC20" s="777"/>
      <c r="AD20" s="777"/>
    </row>
    <row r="21" spans="1:30" ht="36" customHeight="1">
      <c r="A21" s="776"/>
      <c r="B21" s="829">
        <v>4</v>
      </c>
      <c r="C21" s="774">
        <v>2</v>
      </c>
      <c r="D21" s="897"/>
      <c r="E21" s="774"/>
      <c r="F21" s="774"/>
      <c r="G21" s="774"/>
      <c r="H21" s="932"/>
      <c r="I21" s="935" t="str">
        <f t="shared" si="1"/>
        <v>2.2</v>
      </c>
      <c r="J21" s="935" t="str">
        <f t="shared" si="2"/>
        <v>Расходы на топливо с указанием по каждому виду топлива стоимости (за единицу объема), объема и способа его приобретения, стоимости его доставки</v>
      </c>
      <c r="K21" s="935" t="str">
        <f t="shared" si="3"/>
        <v>Указываются суммарные расходы на приобретение топлива всех видов.</v>
      </c>
      <c r="L21" s="775" t="str">
        <f t="shared" si="4"/>
        <v>2.2</v>
      </c>
      <c r="M21" s="775" t="str">
        <f t="shared" si="5"/>
        <v>Расходы на топливо с указанием по каждому виду топлива стоимости (за единицу объема), объема и способа его приобретения, стоимости его доставки</v>
      </c>
      <c r="N21" s="775" t="str">
        <f t="shared" si="6"/>
        <v>Указываются суммарные расходы на приобретение топлива всех видов.</v>
      </c>
      <c r="O21" s="887" t="s">
        <v>352</v>
      </c>
      <c r="P21" s="887"/>
      <c r="Q21" s="887"/>
      <c r="R21" s="887"/>
      <c r="S21" s="887"/>
      <c r="T21" s="894" t="s">
        <v>2100</v>
      </c>
      <c r="U21" s="777"/>
      <c r="V21" s="777"/>
      <c r="W21" s="777"/>
      <c r="X21" s="774"/>
      <c r="Y21" s="930"/>
      <c r="Z21" s="777" t="s">
        <v>2101</v>
      </c>
      <c r="AA21" s="780"/>
      <c r="AB21" s="777"/>
      <c r="AC21" s="777"/>
      <c r="AD21" s="777"/>
    </row>
    <row r="22" spans="1:30" ht="36" customHeight="1">
      <c r="A22" s="776"/>
      <c r="B22" s="829">
        <v>5</v>
      </c>
      <c r="C22" s="774">
        <v>3</v>
      </c>
      <c r="D22" s="897"/>
      <c r="E22" s="774"/>
      <c r="F22" s="774"/>
      <c r="G22" s="821"/>
      <c r="H22" s="888"/>
      <c r="I22" s="935">
        <f t="shared" si="1"/>
        <v>0</v>
      </c>
      <c r="J22" s="935">
        <f t="shared" si="2"/>
        <v>0</v>
      </c>
      <c r="K22" s="935">
        <f t="shared" si="3"/>
        <v>0</v>
      </c>
      <c r="L22" s="775" t="str">
        <f t="shared" si="4"/>
        <v/>
      </c>
      <c r="M22" s="775" t="str">
        <f t="shared" si="5"/>
        <v/>
      </c>
      <c r="N22" s="775" t="str">
        <f t="shared" si="6"/>
        <v/>
      </c>
      <c r="O22" s="887"/>
      <c r="P22" s="887"/>
      <c r="Q22" s="887" t="s">
        <v>352</v>
      </c>
      <c r="R22" s="887"/>
      <c r="S22" s="887"/>
      <c r="T22" s="894"/>
      <c r="U22" s="777"/>
      <c r="V22" s="777" t="s">
        <v>2102</v>
      </c>
      <c r="W22" s="777"/>
      <c r="X22" s="774"/>
      <c r="Y22" s="930"/>
      <c r="Z22" s="777"/>
      <c r="AA22" s="780"/>
      <c r="AB22" s="777"/>
      <c r="AC22" s="777"/>
      <c r="AD22" s="777"/>
    </row>
    <row r="23" spans="1:30" ht="27" customHeight="1">
      <c r="A23" s="776"/>
      <c r="B23" s="829">
        <v>6</v>
      </c>
      <c r="C23" s="774">
        <v>4</v>
      </c>
      <c r="D23" s="897"/>
      <c r="E23" s="774"/>
      <c r="F23" s="774"/>
      <c r="G23" s="821"/>
      <c r="H23" s="888"/>
      <c r="I23" s="935">
        <f t="shared" si="1"/>
        <v>0</v>
      </c>
      <c r="J23" s="935">
        <f t="shared" si="2"/>
        <v>0</v>
      </c>
      <c r="K23" s="935">
        <f t="shared" si="3"/>
        <v>0</v>
      </c>
      <c r="L23" s="775" t="str">
        <f t="shared" si="4"/>
        <v/>
      </c>
      <c r="M23" s="775" t="str">
        <f t="shared" si="5"/>
        <v/>
      </c>
      <c r="N23" s="775" t="str">
        <f t="shared" si="6"/>
        <v/>
      </c>
      <c r="O23" s="887"/>
      <c r="P23" s="887"/>
      <c r="Q23" s="887" t="s">
        <v>355</v>
      </c>
      <c r="R23" s="887"/>
      <c r="S23" s="887"/>
      <c r="T23" s="894"/>
      <c r="U23" s="777"/>
      <c r="V23" s="777" t="s">
        <v>2103</v>
      </c>
      <c r="W23" s="777"/>
      <c r="X23" s="774"/>
      <c r="Y23" s="930"/>
      <c r="Z23" s="777"/>
      <c r="AA23" s="780"/>
      <c r="AB23" s="777"/>
      <c r="AC23" s="777"/>
      <c r="AD23" s="777"/>
    </row>
    <row r="24" spans="1:30" ht="36" customHeight="1">
      <c r="A24" s="776"/>
      <c r="B24" s="829">
        <v>7</v>
      </c>
      <c r="C24" s="774">
        <v>5</v>
      </c>
      <c r="D24" s="897"/>
      <c r="E24" s="774"/>
      <c r="F24" s="774"/>
      <c r="G24" s="821"/>
      <c r="H24" s="888"/>
      <c r="I24" s="935">
        <f t="shared" si="1"/>
        <v>0</v>
      </c>
      <c r="J24" s="935">
        <f t="shared" si="2"/>
        <v>0</v>
      </c>
      <c r="K24" s="935">
        <f t="shared" si="3"/>
        <v>0</v>
      </c>
      <c r="L24" s="775" t="str">
        <f t="shared" si="4"/>
        <v/>
      </c>
      <c r="M24" s="775" t="str">
        <f t="shared" si="5"/>
        <v/>
      </c>
      <c r="N24" s="775" t="str">
        <f t="shared" si="6"/>
        <v/>
      </c>
      <c r="O24" s="887"/>
      <c r="P24" s="887"/>
      <c r="Q24" s="887" t="s">
        <v>774</v>
      </c>
      <c r="R24" s="887"/>
      <c r="S24" s="887"/>
      <c r="T24" s="894"/>
      <c r="U24" s="777"/>
      <c r="V24" s="777" t="s">
        <v>2104</v>
      </c>
      <c r="W24" s="777"/>
      <c r="X24" s="774"/>
      <c r="Y24" s="930"/>
      <c r="Z24" s="777"/>
      <c r="AA24" s="780"/>
      <c r="AB24" s="777"/>
      <c r="AC24" s="777"/>
      <c r="AD24" s="777"/>
    </row>
    <row r="25" spans="1:30" ht="36" customHeight="1">
      <c r="A25" s="776"/>
      <c r="B25" s="829">
        <v>8</v>
      </c>
      <c r="C25" s="774">
        <v>6</v>
      </c>
      <c r="D25" s="897"/>
      <c r="E25" s="774"/>
      <c r="F25" s="774"/>
      <c r="G25" s="821"/>
      <c r="H25" s="888"/>
      <c r="I25" s="935" t="str">
        <f t="shared" si="1"/>
        <v>2.3</v>
      </c>
      <c r="J25" s="935" t="str">
        <f t="shared" si="2"/>
        <v>Расходы на приобретаемую электрическую энергию (мощность), используемую в технологическом процессе</v>
      </c>
      <c r="K25" s="935">
        <f t="shared" si="3"/>
        <v>0</v>
      </c>
      <c r="L25" s="775" t="str">
        <f t="shared" si="4"/>
        <v>2.3</v>
      </c>
      <c r="M25" s="775" t="str">
        <f t="shared" si="5"/>
        <v>Расходы на приобретаемую электрическую энергию (мощность), используемую в технологическом процессе</v>
      </c>
      <c r="N25" s="775" t="str">
        <f t="shared" si="6"/>
        <v/>
      </c>
      <c r="O25" s="887" t="s">
        <v>355</v>
      </c>
      <c r="P25" s="887" t="s">
        <v>352</v>
      </c>
      <c r="Q25" s="887" t="s">
        <v>781</v>
      </c>
      <c r="R25" s="887" t="s">
        <v>352</v>
      </c>
      <c r="S25" s="887"/>
      <c r="T25" s="894" t="s">
        <v>2105</v>
      </c>
      <c r="U25" s="777" t="s">
        <v>2105</v>
      </c>
      <c r="V25" s="777" t="s">
        <v>2105</v>
      </c>
      <c r="W25" s="777" t="s">
        <v>2105</v>
      </c>
      <c r="X25" s="774"/>
      <c r="Y25" s="930"/>
      <c r="Z25" s="777"/>
      <c r="AA25" s="780"/>
      <c r="AB25" s="777"/>
      <c r="AC25" s="777"/>
      <c r="AD25" s="777"/>
    </row>
    <row r="26" spans="1:30" ht="18" customHeight="1">
      <c r="A26" s="776"/>
      <c r="B26" s="829">
        <v>9</v>
      </c>
      <c r="C26" s="774" t="s">
        <v>698</v>
      </c>
      <c r="D26" s="897"/>
      <c r="E26" s="774"/>
      <c r="F26" s="774"/>
      <c r="G26" s="821"/>
      <c r="H26" s="888"/>
      <c r="I26" s="935" t="str">
        <f t="shared" si="1"/>
        <v>2.3.1</v>
      </c>
      <c r="J26" s="935" t="str">
        <f t="shared" si="2"/>
        <v>Средневзвешенная стоимость 1 кВт.ч (с учетом мощности)</v>
      </c>
      <c r="K26" s="935">
        <f t="shared" si="3"/>
        <v>0</v>
      </c>
      <c r="L26" s="775" t="str">
        <f t="shared" si="4"/>
        <v>2.3.1</v>
      </c>
      <c r="M26" s="775" t="str">
        <f t="shared" si="5"/>
        <v>Средневзвешенная стоимость 1 кВт.ч (с учетом мощности)</v>
      </c>
      <c r="N26" s="775" t="str">
        <f t="shared" si="6"/>
        <v/>
      </c>
      <c r="O26" s="887" t="s">
        <v>770</v>
      </c>
      <c r="P26" s="887" t="s">
        <v>764</v>
      </c>
      <c r="Q26" s="887" t="s">
        <v>2106</v>
      </c>
      <c r="R26" s="887" t="s">
        <v>764</v>
      </c>
      <c r="S26" s="887"/>
      <c r="T26" s="894" t="str">
        <f>"Средневзвешенная стоимость 1 кВт.ч"&amp;IF(TITLE_TYPE_ORG="Регулируемая организация"," (с учетом мощности)","")</f>
        <v>Средневзвешенная стоимость 1 кВт.ч (с учетом мощности)</v>
      </c>
      <c r="U26" s="894" t="s">
        <v>2107</v>
      </c>
      <c r="V26" s="894" t="s">
        <v>2107</v>
      </c>
      <c r="W26" s="894" t="s">
        <v>2107</v>
      </c>
      <c r="X26" s="774"/>
      <c r="Y26" s="930"/>
      <c r="Z26" s="777"/>
      <c r="AA26" s="780"/>
      <c r="AB26" s="777"/>
      <c r="AC26" s="777"/>
      <c r="AD26" s="777"/>
    </row>
    <row r="27" spans="1:30" ht="18" customHeight="1">
      <c r="A27" s="776"/>
      <c r="B27" s="829">
        <v>10</v>
      </c>
      <c r="C27" s="774" t="s">
        <v>702</v>
      </c>
      <c r="D27" s="897"/>
      <c r="E27" s="774"/>
      <c r="F27" s="774"/>
      <c r="G27" s="821"/>
      <c r="H27" s="888"/>
      <c r="I27" s="935" t="str">
        <f t="shared" si="1"/>
        <v>2.3.2</v>
      </c>
      <c r="J27" s="935" t="str">
        <f t="shared" si="2"/>
        <v>Объём приобретения электрической энергии</v>
      </c>
      <c r="K27" s="935">
        <f t="shared" si="3"/>
        <v>0</v>
      </c>
      <c r="L27" s="775" t="str">
        <f t="shared" si="4"/>
        <v>2.3.2</v>
      </c>
      <c r="M27" s="775" t="str">
        <f t="shared" si="5"/>
        <v>Объём приобретения электрической энергии</v>
      </c>
      <c r="N27" s="775" t="str">
        <f t="shared" si="6"/>
        <v/>
      </c>
      <c r="O27" s="887" t="s">
        <v>772</v>
      </c>
      <c r="P27" s="887" t="s">
        <v>766</v>
      </c>
      <c r="Q27" s="887" t="s">
        <v>2108</v>
      </c>
      <c r="R27" s="887" t="s">
        <v>766</v>
      </c>
      <c r="S27" s="887"/>
      <c r="T27" s="894" t="s">
        <v>2109</v>
      </c>
      <c r="U27" s="894" t="s">
        <v>2109</v>
      </c>
      <c r="V27" s="894" t="s">
        <v>2109</v>
      </c>
      <c r="W27" s="894" t="s">
        <v>2109</v>
      </c>
      <c r="X27" s="774"/>
      <c r="Y27" s="930"/>
      <c r="Z27" s="777"/>
      <c r="AA27" s="780"/>
      <c r="AB27" s="777"/>
      <c r="AC27" s="777"/>
      <c r="AD27" s="777"/>
    </row>
    <row r="28" spans="1:30" ht="27" customHeight="1">
      <c r="A28" s="776"/>
      <c r="B28" s="829">
        <v>11</v>
      </c>
      <c r="C28" s="774">
        <v>7</v>
      </c>
      <c r="D28" s="897"/>
      <c r="E28" s="774"/>
      <c r="F28" s="774"/>
      <c r="G28" s="821"/>
      <c r="H28" s="888"/>
      <c r="I28" s="935" t="str">
        <f t="shared" si="1"/>
        <v>2.4</v>
      </c>
      <c r="J28" s="935" t="str">
        <f t="shared" si="2"/>
        <v>Расходы на приобретение холодной воды, используемой в технологическом процессе</v>
      </c>
      <c r="K28" s="935">
        <f t="shared" si="3"/>
        <v>0</v>
      </c>
      <c r="L28" s="775" t="str">
        <f t="shared" si="4"/>
        <v>2.4</v>
      </c>
      <c r="M28" s="775" t="str">
        <f t="shared" si="5"/>
        <v>Расходы на приобретение холодной воды, используемой в технологическом процессе</v>
      </c>
      <c r="N28" s="775" t="str">
        <f t="shared" si="6"/>
        <v/>
      </c>
      <c r="O28" s="887" t="s">
        <v>774</v>
      </c>
      <c r="P28" s="887"/>
      <c r="Q28" s="887"/>
      <c r="R28" s="887"/>
      <c r="S28" s="887"/>
      <c r="T28" s="894" t="s">
        <v>2110</v>
      </c>
      <c r="U28" s="777"/>
      <c r="V28" s="777"/>
      <c r="W28" s="777"/>
      <c r="X28" s="774"/>
      <c r="Y28" s="930"/>
      <c r="Z28" s="777"/>
      <c r="AA28" s="780"/>
      <c r="AB28" s="777"/>
      <c r="AC28" s="777"/>
      <c r="AD28" s="777"/>
    </row>
    <row r="29" spans="1:30" ht="27" customHeight="1">
      <c r="A29" s="776"/>
      <c r="B29" s="829">
        <v>12</v>
      </c>
      <c r="C29" s="774">
        <v>8</v>
      </c>
      <c r="D29" s="897"/>
      <c r="E29" s="774"/>
      <c r="F29" s="774"/>
      <c r="G29" s="821"/>
      <c r="H29" s="888"/>
      <c r="I29" s="935" t="str">
        <f t="shared" si="1"/>
        <v>2.5</v>
      </c>
      <c r="J29" s="935" t="str">
        <f t="shared" si="2"/>
        <v>Расходы на  химические реагенты, используемые в технологическом процессе</v>
      </c>
      <c r="K29" s="935">
        <f t="shared" si="3"/>
        <v>0</v>
      </c>
      <c r="L29" s="775" t="str">
        <f t="shared" si="4"/>
        <v>2.5</v>
      </c>
      <c r="M29" s="775" t="str">
        <f t="shared" si="5"/>
        <v>Расходы на  химические реагенты, используемые в технологическом процессе</v>
      </c>
      <c r="N29" s="775" t="str">
        <f t="shared" si="6"/>
        <v/>
      </c>
      <c r="O29" s="887" t="s">
        <v>781</v>
      </c>
      <c r="P29" s="887" t="s">
        <v>355</v>
      </c>
      <c r="Q29" s="887"/>
      <c r="R29" s="887" t="s">
        <v>355</v>
      </c>
      <c r="S29" s="887"/>
      <c r="T29" s="894" t="str">
        <f>"Расходы на  хим"&amp;IF(TITLE_TYPE_ORG="Регулируемая организация","ические",".")&amp;" реагенты, используемые в технологическом процессе"</f>
        <v>Расходы на  химические реагенты, используемые в технологическом процессе</v>
      </c>
      <c r="U29" s="777" t="s">
        <v>2111</v>
      </c>
      <c r="V29" s="777"/>
      <c r="W29" s="777" t="s">
        <v>2111</v>
      </c>
      <c r="X29" s="774"/>
      <c r="Y29" s="930"/>
      <c r="Z29" s="777"/>
      <c r="AA29" s="780"/>
      <c r="AB29" s="777"/>
      <c r="AC29" s="777"/>
      <c r="AD29" s="777"/>
    </row>
    <row r="30" spans="1:30" ht="54" customHeight="1">
      <c r="A30" s="776"/>
      <c r="B30" s="829">
        <v>13</v>
      </c>
      <c r="C30" s="774">
        <v>9</v>
      </c>
      <c r="D30" s="897"/>
      <c r="E30" s="774"/>
      <c r="F30" s="774"/>
      <c r="G30" s="821"/>
      <c r="H30" s="888"/>
      <c r="I30" s="935" t="str">
        <f t="shared" si="1"/>
        <v>2.6</v>
      </c>
      <c r="J30" s="935" t="str">
        <f t="shared" si="2"/>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K30" s="935">
        <f t="shared" si="3"/>
        <v>0</v>
      </c>
      <c r="L30" s="775" t="str">
        <f t="shared" si="4"/>
        <v>2.6</v>
      </c>
      <c r="M30" s="775" t="str">
        <f t="shared" si="5"/>
        <v>Расходы на оплату труда и страховые взносы на обязательное социальное страхование, выплачиваемые из фонда оплаты труда основного производственного персонала, в том числе:</v>
      </c>
      <c r="N30" s="775" t="str">
        <f t="shared" si="6"/>
        <v/>
      </c>
      <c r="O30" s="887" t="s">
        <v>783</v>
      </c>
      <c r="P30" s="887" t="s">
        <v>774</v>
      </c>
      <c r="Q30" s="887" t="s">
        <v>783</v>
      </c>
      <c r="R30" s="887" t="s">
        <v>774</v>
      </c>
      <c r="S30" s="887"/>
      <c r="T30" s="894" t="s">
        <v>2112</v>
      </c>
      <c r="U30" s="777" t="s">
        <v>2112</v>
      </c>
      <c r="V30" s="777" t="s">
        <v>2112</v>
      </c>
      <c r="W30" s="777" t="s">
        <v>2112</v>
      </c>
      <c r="X30" s="774"/>
      <c r="Y30" s="930"/>
      <c r="Z30" s="777"/>
      <c r="AA30" s="780" t="s">
        <v>2113</v>
      </c>
      <c r="AB30" s="780" t="s">
        <v>2113</v>
      </c>
      <c r="AC30" s="780" t="s">
        <v>2113</v>
      </c>
      <c r="AD30" s="777"/>
    </row>
    <row r="31" spans="1:30" ht="18" customHeight="1">
      <c r="A31" s="776"/>
      <c r="B31" s="829">
        <v>14</v>
      </c>
      <c r="C31" s="774" t="s">
        <v>2114</v>
      </c>
      <c r="D31" s="897"/>
      <c r="E31" s="774"/>
      <c r="F31" s="774"/>
      <c r="G31" s="821"/>
      <c r="H31" s="888"/>
      <c r="I31" s="935" t="str">
        <f t="shared" si="1"/>
        <v>2.6.1</v>
      </c>
      <c r="J31" s="935" t="str">
        <f t="shared" si="2"/>
        <v>Расходы на оплату труда основного производственного персонала</v>
      </c>
      <c r="K31" s="935">
        <f t="shared" si="3"/>
        <v>0</v>
      </c>
      <c r="L31" s="775" t="str">
        <f t="shared" si="4"/>
        <v>2.6.1</v>
      </c>
      <c r="M31" s="775" t="str">
        <f t="shared" si="5"/>
        <v>Расходы на оплату труда основного производственного персонала</v>
      </c>
      <c r="N31" s="775" t="str">
        <f t="shared" si="6"/>
        <v/>
      </c>
      <c r="O31" s="887" t="s">
        <v>2115</v>
      </c>
      <c r="P31" s="887" t="s">
        <v>777</v>
      </c>
      <c r="Q31" s="887" t="s">
        <v>2115</v>
      </c>
      <c r="R31" s="887" t="s">
        <v>777</v>
      </c>
      <c r="S31" s="887"/>
      <c r="T31" s="895" t="s">
        <v>2116</v>
      </c>
      <c r="U31" s="777" t="s">
        <v>2116</v>
      </c>
      <c r="V31" s="777" t="s">
        <v>2116</v>
      </c>
      <c r="W31" s="777" t="s">
        <v>2116</v>
      </c>
      <c r="X31" s="774"/>
      <c r="Y31" s="930"/>
      <c r="Z31" s="777"/>
      <c r="AA31" s="780"/>
      <c r="AB31" s="780"/>
      <c r="AC31" s="780"/>
      <c r="AD31" s="777"/>
    </row>
    <row r="32" spans="1:30" ht="36" customHeight="1">
      <c r="A32" s="776"/>
      <c r="B32" s="829">
        <v>15</v>
      </c>
      <c r="C32" s="774" t="s">
        <v>2117</v>
      </c>
      <c r="D32" s="897"/>
      <c r="E32" s="774"/>
      <c r="F32" s="774"/>
      <c r="G32" s="821"/>
      <c r="H32" s="888"/>
      <c r="I32" s="935" t="str">
        <f t="shared" si="1"/>
        <v>2.6.2</v>
      </c>
      <c r="J32" s="935" t="str">
        <f t="shared" si="2"/>
        <v>Страховые взносы на обязательное социальное страхование, выплачиваемые из фонда оплаты труда основного производственного персонала</v>
      </c>
      <c r="K32" s="935">
        <f t="shared" si="3"/>
        <v>0</v>
      </c>
      <c r="L32" s="775" t="str">
        <f t="shared" si="4"/>
        <v>2.6.2</v>
      </c>
      <c r="M32" s="775" t="str">
        <f t="shared" si="5"/>
        <v>Страховые взносы на обязательное социальное страхование, выплачиваемые из фонда оплаты труда основного производственного персонала</v>
      </c>
      <c r="N32" s="775" t="str">
        <f t="shared" si="6"/>
        <v/>
      </c>
      <c r="O32" s="887" t="s">
        <v>2118</v>
      </c>
      <c r="P32" s="887" t="s">
        <v>779</v>
      </c>
      <c r="Q32" s="887" t="s">
        <v>2118</v>
      </c>
      <c r="R32" s="887" t="s">
        <v>779</v>
      </c>
      <c r="S32" s="887"/>
      <c r="T32" s="896" t="str">
        <f>IF(TITLE_TYPE_ORG="Регулируемая организация","С","Расходы на с")&amp;"траховые взносы на обязательное социальное страхование, выплачиваемые из фонда оплаты труда основного производственного персонала"</f>
        <v>Страховые взносы на обязательное социальное страхование, выплачиваемые из фонда оплаты труда основного производственного персонала</v>
      </c>
      <c r="U32" s="777" t="s">
        <v>2119</v>
      </c>
      <c r="V32" s="777" t="s">
        <v>2119</v>
      </c>
      <c r="W32" s="777" t="s">
        <v>2119</v>
      </c>
      <c r="X32" s="774"/>
      <c r="Y32" s="930"/>
      <c r="Z32" s="777"/>
      <c r="AA32" s="780"/>
      <c r="AB32" s="780"/>
      <c r="AC32" s="780"/>
      <c r="AD32" s="777"/>
    </row>
    <row r="33" spans="1:30" ht="45" customHeight="1">
      <c r="A33" s="776"/>
      <c r="B33" s="829">
        <v>16</v>
      </c>
      <c r="C33" s="774">
        <v>10</v>
      </c>
      <c r="D33" s="897"/>
      <c r="E33" s="774"/>
      <c r="F33" s="774"/>
      <c r="G33" s="821"/>
      <c r="H33" s="888"/>
      <c r="I33" s="935" t="str">
        <f t="shared" si="1"/>
        <v>2.7</v>
      </c>
      <c r="J33" s="935" t="str">
        <f t="shared" si="2"/>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K33" s="935">
        <f t="shared" si="3"/>
        <v>0</v>
      </c>
      <c r="L33" s="775" t="str">
        <f t="shared" si="4"/>
        <v>2.7</v>
      </c>
      <c r="M33" s="775" t="str">
        <f t="shared" si="5"/>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N33" s="775" t="str">
        <f t="shared" si="6"/>
        <v/>
      </c>
      <c r="O33" s="887" t="s">
        <v>785</v>
      </c>
      <c r="P33" s="887" t="s">
        <v>781</v>
      </c>
      <c r="Q33" s="887" t="s">
        <v>785</v>
      </c>
      <c r="R33" s="887" t="s">
        <v>781</v>
      </c>
      <c r="S33" s="887"/>
      <c r="T33" s="895" t="str">
        <f>"Расходы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персонала"&amp;IF(TITLE_TYPE_ORG="Регулируемая организация",", в том числе","")&amp;":"</f>
        <v>Расходы на оплату труда и страховые взносы на обязательное социальное страхование, выплачиваемые из фонда оплаты труда административно-управленческого персонала, в том числе:</v>
      </c>
      <c r="U33" s="777" t="s">
        <v>2120</v>
      </c>
      <c r="V33" s="777" t="s">
        <v>2120</v>
      </c>
      <c r="W33" s="777" t="s">
        <v>2121</v>
      </c>
      <c r="X33" s="774"/>
      <c r="Y33" s="930"/>
      <c r="Z33" s="777"/>
      <c r="AA33" s="780" t="s">
        <v>2122</v>
      </c>
      <c r="AB33" s="780" t="s">
        <v>2122</v>
      </c>
      <c r="AC33" s="780" t="s">
        <v>2122</v>
      </c>
      <c r="AD33" s="777"/>
    </row>
    <row r="34" spans="1:30" ht="27" customHeight="1">
      <c r="A34" s="776"/>
      <c r="B34" s="829">
        <v>17</v>
      </c>
      <c r="C34" s="774" t="s">
        <v>2123</v>
      </c>
      <c r="D34" s="897"/>
      <c r="E34" s="774"/>
      <c r="F34" s="774"/>
      <c r="G34" s="821"/>
      <c r="H34" s="888"/>
      <c r="I34" s="935" t="str">
        <f t="shared" si="1"/>
        <v>2.7.1</v>
      </c>
      <c r="J34" s="935" t="str">
        <f t="shared" si="2"/>
        <v>Расходы на оплату труда административно-управленческого персонала</v>
      </c>
      <c r="K34" s="935">
        <f t="shared" si="3"/>
        <v>0</v>
      </c>
      <c r="L34" s="775" t="str">
        <f t="shared" si="4"/>
        <v>2.7.1</v>
      </c>
      <c r="M34" s="775" t="str">
        <f t="shared" si="5"/>
        <v>Расходы на оплату труда административно-управленческого персонала</v>
      </c>
      <c r="N34" s="775" t="str">
        <f t="shared" si="6"/>
        <v/>
      </c>
      <c r="O34" s="887" t="s">
        <v>2124</v>
      </c>
      <c r="P34" s="887" t="s">
        <v>2106</v>
      </c>
      <c r="Q34" s="887" t="s">
        <v>2124</v>
      </c>
      <c r="R34" s="887" t="s">
        <v>2106</v>
      </c>
      <c r="S34" s="887"/>
      <c r="T34" s="896" t="s">
        <v>2125</v>
      </c>
      <c r="U34" s="777" t="s">
        <v>2125</v>
      </c>
      <c r="V34" s="777" t="s">
        <v>2125</v>
      </c>
      <c r="W34" s="777" t="s">
        <v>2126</v>
      </c>
      <c r="X34" s="774"/>
      <c r="Y34" s="930"/>
      <c r="Z34" s="777"/>
      <c r="AA34" s="780"/>
      <c r="AB34" s="777"/>
      <c r="AC34" s="777"/>
      <c r="AD34" s="777"/>
    </row>
    <row r="35" spans="1:30" ht="45" customHeight="1">
      <c r="A35" s="776"/>
      <c r="B35" s="829">
        <v>18</v>
      </c>
      <c r="C35" s="774" t="s">
        <v>2127</v>
      </c>
      <c r="D35" s="897"/>
      <c r="E35" s="774"/>
      <c r="F35" s="774"/>
      <c r="G35" s="821"/>
      <c r="H35" s="888"/>
      <c r="I35" s="935" t="str">
        <f t="shared" si="1"/>
        <v>2.7.2</v>
      </c>
      <c r="J35" s="935" t="str">
        <f t="shared" si="2"/>
        <v>Страховые взносы на обязательное социальное страхование, выплачиваемые из фонда оплаты труда административно-управленческого персонала</v>
      </c>
      <c r="K35" s="935">
        <f t="shared" si="3"/>
        <v>0</v>
      </c>
      <c r="L35" s="775" t="str">
        <f t="shared" si="4"/>
        <v>2.7.2</v>
      </c>
      <c r="M35" s="775" t="str">
        <f t="shared" si="5"/>
        <v>Страховые взносы на обязательное социальное страхование, выплачиваемые из фонда оплаты труда административно-управленческого персонала</v>
      </c>
      <c r="N35" s="775" t="str">
        <f t="shared" si="6"/>
        <v/>
      </c>
      <c r="O35" s="887" t="s">
        <v>2128</v>
      </c>
      <c r="P35" s="887" t="s">
        <v>2108</v>
      </c>
      <c r="Q35" s="887" t="s">
        <v>2128</v>
      </c>
      <c r="R35" s="887" t="s">
        <v>2108</v>
      </c>
      <c r="S35" s="887"/>
      <c r="T35" s="894" t="str">
        <f>IF(TITLE_TYPE_ORG="Регулируемая организация","С","Расходы на с")&amp;"траховые взносы на обязательное социальное страхование, выплачиваемые из фонда оплаты труда административно-управленческого персонала"</f>
        <v>Страховые взносы на обязательное социальное страхование, выплачиваемые из фонда оплаты труда административно-управленческого персонала</v>
      </c>
      <c r="U35" s="777" t="s">
        <v>2129</v>
      </c>
      <c r="V35" s="777" t="s">
        <v>2129</v>
      </c>
      <c r="W35" s="777" t="s">
        <v>2129</v>
      </c>
      <c r="X35" s="774"/>
      <c r="Y35" s="930"/>
      <c r="Z35" s="777"/>
      <c r="AA35" s="780"/>
      <c r="AB35" s="777"/>
      <c r="AC35" s="777"/>
      <c r="AD35" s="777"/>
    </row>
    <row r="36" spans="1:30" ht="18" customHeight="1">
      <c r="A36" s="776"/>
      <c r="B36" s="829">
        <v>19</v>
      </c>
      <c r="C36" s="774">
        <v>11</v>
      </c>
      <c r="D36" s="897"/>
      <c r="E36" s="774"/>
      <c r="F36" s="774"/>
      <c r="G36" s="821"/>
      <c r="H36" s="888"/>
      <c r="I36" s="935" t="str">
        <f t="shared" si="1"/>
        <v>2.8</v>
      </c>
      <c r="J36" s="935" t="str">
        <f t="shared" si="2"/>
        <v>Расходы на амортизацию основных средств и нематериальных активов</v>
      </c>
      <c r="K36" s="935">
        <f t="shared" si="3"/>
        <v>0</v>
      </c>
      <c r="L36" s="775" t="str">
        <f t="shared" si="4"/>
        <v>2.8</v>
      </c>
      <c r="M36" s="775" t="str">
        <f t="shared" si="5"/>
        <v>Расходы на амортизацию основных средств и нематериальных активов</v>
      </c>
      <c r="N36" s="775" t="str">
        <f t="shared" si="6"/>
        <v/>
      </c>
      <c r="O36" s="887" t="s">
        <v>787</v>
      </c>
      <c r="P36" s="887" t="s">
        <v>783</v>
      </c>
      <c r="Q36" s="887" t="s">
        <v>787</v>
      </c>
      <c r="R36" s="887" t="s">
        <v>783</v>
      </c>
      <c r="S36" s="887"/>
      <c r="T36" s="894" t="s">
        <v>2130</v>
      </c>
      <c r="U36" s="777" t="s">
        <v>2130</v>
      </c>
      <c r="V36" s="777" t="s">
        <v>2130</v>
      </c>
      <c r="W36" s="777" t="s">
        <v>2130</v>
      </c>
      <c r="X36" s="774"/>
      <c r="Y36" s="930"/>
      <c r="Z36" s="777"/>
      <c r="AA36" s="780"/>
      <c r="AB36" s="777"/>
      <c r="AC36" s="777"/>
      <c r="AD36" s="777"/>
    </row>
    <row r="37" spans="1:30" ht="18" customHeight="1">
      <c r="A37" s="776"/>
      <c r="B37" s="829">
        <v>20</v>
      </c>
      <c r="C37" s="774" t="s">
        <v>2131</v>
      </c>
      <c r="D37" s="897"/>
      <c r="E37" s="774"/>
      <c r="F37" s="774"/>
      <c r="G37" s="821"/>
      <c r="H37" s="888"/>
      <c r="I37" s="935" t="str">
        <f t="shared" si="1"/>
        <v>2.8.1</v>
      </c>
      <c r="J37" s="935" t="str">
        <f t="shared" si="2"/>
        <v>Расходы на амортизацию основных средств</v>
      </c>
      <c r="K37" s="935">
        <f t="shared" si="3"/>
        <v>0</v>
      </c>
      <c r="L37" s="775" t="str">
        <f t="shared" si="4"/>
        <v>2.8.1</v>
      </c>
      <c r="M37" s="775" t="str">
        <f t="shared" si="5"/>
        <v>Расходы на амортизацию основных средств</v>
      </c>
      <c r="N37" s="775" t="str">
        <f t="shared" si="6"/>
        <v/>
      </c>
      <c r="O37" s="887" t="s">
        <v>2132</v>
      </c>
      <c r="P37" s="887" t="s">
        <v>2115</v>
      </c>
      <c r="Q37" s="887" t="s">
        <v>2132</v>
      </c>
      <c r="R37" s="887" t="s">
        <v>2115</v>
      </c>
      <c r="S37" s="887"/>
      <c r="T37" s="894" t="s">
        <v>2133</v>
      </c>
      <c r="U37" s="777" t="s">
        <v>2133</v>
      </c>
      <c r="V37" s="777" t="s">
        <v>2133</v>
      </c>
      <c r="W37" s="777" t="s">
        <v>2133</v>
      </c>
      <c r="X37" s="774"/>
      <c r="Y37" s="930"/>
      <c r="Z37" s="777"/>
      <c r="AA37" s="780"/>
      <c r="AB37" s="777"/>
      <c r="AC37" s="777"/>
      <c r="AD37" s="777"/>
    </row>
    <row r="38" spans="1:30" ht="18" customHeight="1">
      <c r="A38" s="776"/>
      <c r="B38" s="829">
        <v>21</v>
      </c>
      <c r="C38" s="774" t="s">
        <v>2134</v>
      </c>
      <c r="D38" s="897"/>
      <c r="E38" s="774"/>
      <c r="F38" s="774"/>
      <c r="G38" s="821"/>
      <c r="H38" s="888"/>
      <c r="I38" s="935" t="str">
        <f t="shared" si="1"/>
        <v>2.8.2</v>
      </c>
      <c r="J38" s="935" t="str">
        <f t="shared" si="2"/>
        <v>Расходы на амортизацию нематериальных активов</v>
      </c>
      <c r="K38" s="935">
        <f t="shared" si="3"/>
        <v>0</v>
      </c>
      <c r="L38" s="775" t="str">
        <f t="shared" si="4"/>
        <v>2.8.2</v>
      </c>
      <c r="M38" s="775" t="str">
        <f t="shared" si="5"/>
        <v>Расходы на амортизацию нематериальных активов</v>
      </c>
      <c r="N38" s="775" t="str">
        <f t="shared" si="6"/>
        <v/>
      </c>
      <c r="O38" s="887" t="s">
        <v>2135</v>
      </c>
      <c r="P38" s="887" t="s">
        <v>2118</v>
      </c>
      <c r="Q38" s="887" t="s">
        <v>2135</v>
      </c>
      <c r="R38" s="887" t="s">
        <v>2118</v>
      </c>
      <c r="S38" s="887"/>
      <c r="T38" s="894" t="s">
        <v>2136</v>
      </c>
      <c r="U38" s="777" t="s">
        <v>2136</v>
      </c>
      <c r="V38" s="777" t="s">
        <v>2136</v>
      </c>
      <c r="W38" s="777" t="s">
        <v>2136</v>
      </c>
      <c r="X38" s="774"/>
      <c r="Y38" s="930"/>
      <c r="Z38" s="777"/>
      <c r="AA38" s="780"/>
      <c r="AB38" s="777"/>
      <c r="AC38" s="777"/>
      <c r="AD38" s="777"/>
    </row>
    <row r="39" spans="1:30" ht="36" customHeight="1">
      <c r="A39" s="776"/>
      <c r="B39" s="829">
        <v>22</v>
      </c>
      <c r="C39" s="774">
        <v>12</v>
      </c>
      <c r="D39" s="897"/>
      <c r="E39" s="774"/>
      <c r="F39" s="774"/>
      <c r="G39" s="821"/>
      <c r="H39" s="888"/>
      <c r="I39" s="935" t="str">
        <f t="shared" si="1"/>
        <v>2.9</v>
      </c>
      <c r="J39" s="935" t="str">
        <f t="shared" si="2"/>
        <v>Расходы на аренду имущества, используемого для осуществления регулируемого вида деятельности</v>
      </c>
      <c r="K39" s="935">
        <f t="shared" si="3"/>
        <v>0</v>
      </c>
      <c r="L39" s="775" t="str">
        <f t="shared" si="4"/>
        <v>2.9</v>
      </c>
      <c r="M39" s="775" t="str">
        <f t="shared" si="5"/>
        <v>Расходы на аренду имущества, используемого для осуществления регулируемого вида деятельности</v>
      </c>
      <c r="N39" s="775" t="str">
        <f t="shared" si="6"/>
        <v/>
      </c>
      <c r="O39" s="887" t="s">
        <v>791</v>
      </c>
      <c r="P39" s="887" t="s">
        <v>785</v>
      </c>
      <c r="Q39" s="887" t="s">
        <v>791</v>
      </c>
      <c r="R39" s="887" t="s">
        <v>785</v>
      </c>
      <c r="S39" s="887"/>
      <c r="T39" s="894" t="s">
        <v>2137</v>
      </c>
      <c r="U39" s="777" t="s">
        <v>2138</v>
      </c>
      <c r="V39" s="777" t="s">
        <v>2139</v>
      </c>
      <c r="W39" s="777" t="s">
        <v>2140</v>
      </c>
      <c r="X39" s="774"/>
      <c r="Y39" s="930"/>
      <c r="Z39" s="777"/>
      <c r="AA39" s="780"/>
      <c r="AB39" s="777"/>
      <c r="AC39" s="777"/>
      <c r="AD39" s="777"/>
    </row>
    <row r="40" spans="1:30" ht="18" customHeight="1">
      <c r="A40" s="776"/>
      <c r="B40" s="829">
        <v>23</v>
      </c>
      <c r="C40" s="774">
        <v>13</v>
      </c>
      <c r="D40" s="897"/>
      <c r="E40" s="774"/>
      <c r="F40" s="774"/>
      <c r="G40" s="774"/>
      <c r="H40" s="824"/>
      <c r="I40" s="935" t="str">
        <f t="shared" si="1"/>
        <v>2.10</v>
      </c>
      <c r="J40" s="935" t="str">
        <f t="shared" si="2"/>
        <v>Общепроизводственные расходы, в том числе:</v>
      </c>
      <c r="K40" s="935" t="str">
        <f t="shared" si="3"/>
        <v>Указывается общая сумма общепроизводственных расходов.</v>
      </c>
      <c r="L40" s="775" t="str">
        <f t="shared" si="4"/>
        <v>2.10</v>
      </c>
      <c r="M40" s="775" t="str">
        <f t="shared" si="5"/>
        <v>Общепроизводственные расходы, в том числе:</v>
      </c>
      <c r="N40" s="775" t="str">
        <f t="shared" si="6"/>
        <v>Указывается общая сумма общепроизводственных расходов.</v>
      </c>
      <c r="O40" s="887" t="s">
        <v>2141</v>
      </c>
      <c r="P40" s="887" t="s">
        <v>787</v>
      </c>
      <c r="Q40" s="887" t="s">
        <v>2141</v>
      </c>
      <c r="R40" s="887" t="s">
        <v>787</v>
      </c>
      <c r="S40" s="887"/>
      <c r="T40" s="774" t="s">
        <v>2142</v>
      </c>
      <c r="U40" s="774" t="s">
        <v>2142</v>
      </c>
      <c r="V40" s="774" t="s">
        <v>2142</v>
      </c>
      <c r="W40" s="774" t="s">
        <v>2142</v>
      </c>
      <c r="X40" s="774"/>
      <c r="Y40" s="930"/>
      <c r="Z40" s="777" t="s">
        <v>2143</v>
      </c>
      <c r="AA40" s="780" t="s">
        <v>2143</v>
      </c>
      <c r="AB40" s="780" t="s">
        <v>2143</v>
      </c>
      <c r="AC40" s="780" t="s">
        <v>2143</v>
      </c>
      <c r="AD40" s="777"/>
    </row>
    <row r="41" spans="1:30" ht="27" customHeight="1">
      <c r="A41" s="776"/>
      <c r="B41" s="829">
        <v>24</v>
      </c>
      <c r="C41" s="774" t="s">
        <v>2144</v>
      </c>
      <c r="D41" s="897"/>
      <c r="E41" s="774"/>
      <c r="F41" s="774"/>
      <c r="G41" s="774"/>
      <c r="H41" s="821"/>
      <c r="I41" s="935" t="str">
        <f t="shared" si="1"/>
        <v>2.10.1</v>
      </c>
      <c r="J41" s="935" t="str">
        <f t="shared" si="2"/>
        <v>Расходы на текущий ремонт</v>
      </c>
      <c r="K41" s="935" t="str">
        <f t="shared" si="3"/>
        <v>Указываются расходы на текущий ремонт, отнесенные к общепроизводственным расходам.</v>
      </c>
      <c r="L41" s="775" t="str">
        <f t="shared" si="4"/>
        <v>2.10.1</v>
      </c>
      <c r="M41" s="775" t="str">
        <f t="shared" si="5"/>
        <v>Расходы на текущий ремонт</v>
      </c>
      <c r="N41" s="775" t="str">
        <f t="shared" si="6"/>
        <v>Указываются расходы на текущий ремонт, отнесенные к общепроизводственным расходам.</v>
      </c>
      <c r="O41" s="887" t="s">
        <v>2145</v>
      </c>
      <c r="P41" s="887" t="s">
        <v>2132</v>
      </c>
      <c r="Q41" s="887" t="s">
        <v>2145</v>
      </c>
      <c r="R41" s="887" t="s">
        <v>2132</v>
      </c>
      <c r="S41" s="887"/>
      <c r="T41" s="774" t="s">
        <v>2146</v>
      </c>
      <c r="U41" s="774" t="s">
        <v>2146</v>
      </c>
      <c r="V41" s="774" t="s">
        <v>2146</v>
      </c>
      <c r="W41" s="774" t="s">
        <v>2146</v>
      </c>
      <c r="X41" s="774"/>
      <c r="Y41" s="930"/>
      <c r="Z41" s="777" t="s">
        <v>2147</v>
      </c>
      <c r="AA41" s="777" t="s">
        <v>2147</v>
      </c>
      <c r="AB41" s="777" t="s">
        <v>2147</v>
      </c>
      <c r="AC41" s="777" t="s">
        <v>2147</v>
      </c>
      <c r="AD41" s="777"/>
    </row>
    <row r="42" spans="1:30" ht="27" customHeight="1">
      <c r="A42" s="776"/>
      <c r="B42" s="829">
        <v>25</v>
      </c>
      <c r="C42" s="774" t="s">
        <v>2148</v>
      </c>
      <c r="D42" s="897"/>
      <c r="E42" s="774"/>
      <c r="F42" s="774"/>
      <c r="G42" s="774"/>
      <c r="H42" s="821"/>
      <c r="I42" s="935" t="str">
        <f t="shared" si="1"/>
        <v>2.10.2</v>
      </c>
      <c r="J42" s="935" t="str">
        <f t="shared" si="2"/>
        <v>Расходы на капитальный ремонт</v>
      </c>
      <c r="K42" s="935" t="str">
        <f t="shared" si="3"/>
        <v>Указываются расходы на капитальный ремонт, отнесенные к общепроизводственным расходам.</v>
      </c>
      <c r="L42" s="775" t="str">
        <f t="shared" si="4"/>
        <v>2.10.2</v>
      </c>
      <c r="M42" s="775" t="str">
        <f t="shared" si="5"/>
        <v>Расходы на капитальный ремонт</v>
      </c>
      <c r="N42" s="775" t="str">
        <f t="shared" si="6"/>
        <v>Указываются расходы на капитальный ремонт, отнесенные к общепроизводственным расходам.</v>
      </c>
      <c r="O42" s="887" t="s">
        <v>2149</v>
      </c>
      <c r="P42" s="887" t="s">
        <v>2135</v>
      </c>
      <c r="Q42" s="887" t="s">
        <v>2149</v>
      </c>
      <c r="R42" s="887" t="s">
        <v>2135</v>
      </c>
      <c r="S42" s="887"/>
      <c r="T42" s="774" t="s">
        <v>2150</v>
      </c>
      <c r="U42" s="774" t="s">
        <v>2150</v>
      </c>
      <c r="V42" s="774" t="s">
        <v>2150</v>
      </c>
      <c r="W42" s="774" t="s">
        <v>2150</v>
      </c>
      <c r="X42" s="774"/>
      <c r="Y42" s="930"/>
      <c r="Z42" s="777" t="s">
        <v>2151</v>
      </c>
      <c r="AA42" s="777" t="s">
        <v>2151</v>
      </c>
      <c r="AB42" s="777" t="s">
        <v>2151</v>
      </c>
      <c r="AC42" s="777" t="s">
        <v>2151</v>
      </c>
      <c r="AD42" s="777"/>
    </row>
    <row r="43" spans="1:30" ht="18" customHeight="1">
      <c r="A43" s="776"/>
      <c r="B43" s="829">
        <v>26</v>
      </c>
      <c r="C43" s="774">
        <v>14</v>
      </c>
      <c r="D43" s="897"/>
      <c r="E43" s="774"/>
      <c r="F43" s="774"/>
      <c r="G43" s="774"/>
      <c r="H43" s="821"/>
      <c r="I43" s="935" t="str">
        <f t="shared" si="1"/>
        <v>2.11</v>
      </c>
      <c r="J43" s="935" t="str">
        <f t="shared" si="2"/>
        <v>Общехозяйственные расходы, в том числе:</v>
      </c>
      <c r="K43" s="935" t="str">
        <f t="shared" si="3"/>
        <v>Указывается общая сумма общехозяйственных расходов.</v>
      </c>
      <c r="L43" s="775" t="str">
        <f t="shared" si="4"/>
        <v>2.11</v>
      </c>
      <c r="M43" s="775" t="str">
        <f t="shared" si="5"/>
        <v>Общехозяйственные расходы, в том числе:</v>
      </c>
      <c r="N43" s="775" t="str">
        <f t="shared" si="6"/>
        <v>Указывается общая сумма общехозяйственных расходов.</v>
      </c>
      <c r="O43" s="887" t="s">
        <v>2152</v>
      </c>
      <c r="P43" s="887" t="s">
        <v>791</v>
      </c>
      <c r="Q43" s="887" t="s">
        <v>2152</v>
      </c>
      <c r="R43" s="887" t="s">
        <v>791</v>
      </c>
      <c r="S43" s="887"/>
      <c r="T43" s="774" t="s">
        <v>2153</v>
      </c>
      <c r="U43" s="774" t="s">
        <v>2153</v>
      </c>
      <c r="V43" s="774" t="s">
        <v>2153</v>
      </c>
      <c r="W43" s="774" t="s">
        <v>2153</v>
      </c>
      <c r="X43" s="774"/>
      <c r="Y43" s="930"/>
      <c r="Z43" s="777" t="s">
        <v>2154</v>
      </c>
      <c r="AA43" s="777" t="s">
        <v>2154</v>
      </c>
      <c r="AB43" s="777" t="s">
        <v>2154</v>
      </c>
      <c r="AC43" s="777" t="s">
        <v>2154</v>
      </c>
      <c r="AD43" s="777"/>
    </row>
    <row r="44" spans="1:30" ht="27" customHeight="1">
      <c r="A44" s="776"/>
      <c r="B44" s="829">
        <v>27</v>
      </c>
      <c r="C44" s="774" t="s">
        <v>2155</v>
      </c>
      <c r="D44" s="897"/>
      <c r="E44" s="774"/>
      <c r="F44" s="774"/>
      <c r="G44" s="774"/>
      <c r="H44" s="821"/>
      <c r="I44" s="935" t="str">
        <f t="shared" si="1"/>
        <v>2.11.1</v>
      </c>
      <c r="J44" s="935" t="str">
        <f t="shared" si="2"/>
        <v>Расходы на текущий ремонт</v>
      </c>
      <c r="K44" s="935" t="str">
        <f t="shared" si="3"/>
        <v>Указываются расходы на текущий ремонт, отнесенные к общехозяйственным расходам.</v>
      </c>
      <c r="L44" s="775" t="str">
        <f t="shared" si="4"/>
        <v>2.11.1</v>
      </c>
      <c r="M44" s="775" t="str">
        <f t="shared" si="5"/>
        <v>Расходы на текущий ремонт</v>
      </c>
      <c r="N44" s="775" t="str">
        <f t="shared" si="6"/>
        <v>Указываются расходы на текущий ремонт, отнесенные к общехозяйственным расходам.</v>
      </c>
      <c r="O44" s="887" t="s">
        <v>2156</v>
      </c>
      <c r="P44" s="887" t="s">
        <v>2157</v>
      </c>
      <c r="Q44" s="887" t="s">
        <v>2156</v>
      </c>
      <c r="R44" s="887" t="s">
        <v>2157</v>
      </c>
      <c r="S44" s="887"/>
      <c r="T44" s="774" t="s">
        <v>2146</v>
      </c>
      <c r="U44" s="774" t="s">
        <v>2146</v>
      </c>
      <c r="V44" s="774" t="s">
        <v>2146</v>
      </c>
      <c r="W44" s="774" t="s">
        <v>2146</v>
      </c>
      <c r="X44" s="774"/>
      <c r="Y44" s="930"/>
      <c r="Z44" s="777" t="s">
        <v>2158</v>
      </c>
      <c r="AA44" s="777" t="s">
        <v>2158</v>
      </c>
      <c r="AB44" s="777" t="s">
        <v>2158</v>
      </c>
      <c r="AC44" s="777" t="s">
        <v>2158</v>
      </c>
      <c r="AD44" s="777"/>
    </row>
    <row r="45" spans="1:30" ht="27" customHeight="1">
      <c r="A45" s="776"/>
      <c r="B45" s="829">
        <v>28</v>
      </c>
      <c r="C45" s="774" t="s">
        <v>2159</v>
      </c>
      <c r="D45" s="897"/>
      <c r="E45" s="774"/>
      <c r="F45" s="774"/>
      <c r="G45" s="774"/>
      <c r="H45" s="821"/>
      <c r="I45" s="935" t="str">
        <f t="shared" si="1"/>
        <v>2.11.2</v>
      </c>
      <c r="J45" s="935" t="str">
        <f t="shared" si="2"/>
        <v>Расходы на капитальный ремонт</v>
      </c>
      <c r="K45" s="935" t="str">
        <f t="shared" si="3"/>
        <v>Указываются расходы на капитальный ремонт, отнесенные к общехозяйственным расходам.</v>
      </c>
      <c r="L45" s="775" t="str">
        <f t="shared" si="4"/>
        <v>2.11.2</v>
      </c>
      <c r="M45" s="775" t="str">
        <f t="shared" si="5"/>
        <v>Расходы на капитальный ремонт</v>
      </c>
      <c r="N45" s="775" t="str">
        <f t="shared" si="6"/>
        <v>Указываются расходы на капитальный ремонт, отнесенные к общехозяйственным расходам.</v>
      </c>
      <c r="O45" s="887" t="s">
        <v>2160</v>
      </c>
      <c r="P45" s="887" t="s">
        <v>2161</v>
      </c>
      <c r="Q45" s="887" t="s">
        <v>2160</v>
      </c>
      <c r="R45" s="887" t="s">
        <v>2161</v>
      </c>
      <c r="S45" s="887"/>
      <c r="T45" s="774" t="s">
        <v>2150</v>
      </c>
      <c r="U45" s="774" t="s">
        <v>2150</v>
      </c>
      <c r="V45" s="774" t="s">
        <v>2150</v>
      </c>
      <c r="W45" s="774" t="s">
        <v>2150</v>
      </c>
      <c r="X45" s="774"/>
      <c r="Y45" s="930"/>
      <c r="Z45" s="777" t="s">
        <v>2162</v>
      </c>
      <c r="AA45" s="777" t="s">
        <v>2162</v>
      </c>
      <c r="AB45" s="777" t="s">
        <v>2162</v>
      </c>
      <c r="AC45" s="777" t="s">
        <v>2162</v>
      </c>
      <c r="AD45" s="777"/>
    </row>
    <row r="46" spans="1:30" ht="54" customHeight="1">
      <c r="A46" s="776"/>
      <c r="B46" s="829">
        <v>29</v>
      </c>
      <c r="C46" s="774">
        <v>15</v>
      </c>
      <c r="D46" s="897"/>
      <c r="E46" s="774"/>
      <c r="F46" s="774"/>
      <c r="G46" s="774"/>
      <c r="H46" s="821"/>
      <c r="I46" s="935" t="str">
        <f t="shared" si="1"/>
        <v>2.12</v>
      </c>
      <c r="J46" s="935" t="str">
        <f t="shared" si="2"/>
        <v>Расходы на капитальный и текущий ремонт основных средств</v>
      </c>
      <c r="K46" s="935" t="str">
        <f t="shared" si="3"/>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L46" s="775" t="str">
        <f t="shared" si="4"/>
        <v>2.12</v>
      </c>
      <c r="M46" s="775" t="str">
        <f t="shared" si="5"/>
        <v>Расходы на капитальный и текущий ремонт основных средств</v>
      </c>
      <c r="N46" s="775" t="str">
        <f t="shared" si="6"/>
        <v>Указывается информация об объемах товаров и услуг, их стоимости и о способах приобретения у тех организаций, сумма оплаты услуг которых превышает 20 процентов суммы расходов по указанной статье расходов</v>
      </c>
      <c r="O46" s="887" t="s">
        <v>2163</v>
      </c>
      <c r="P46" s="887" t="s">
        <v>2141</v>
      </c>
      <c r="Q46" s="887" t="s">
        <v>2163</v>
      </c>
      <c r="R46" s="887" t="s">
        <v>2141</v>
      </c>
      <c r="S46" s="887"/>
      <c r="T46" s="775" t="str">
        <f>"Расходы на капитальный и текущий ремонт основных"&amp;IF(TITLE_TYPE_ORG="Регулируемая организация",""," производственных")&amp;" средств"</f>
        <v>Расходы на капитальный и текущий ремонт основных средств</v>
      </c>
      <c r="U46" s="774" t="s">
        <v>2164</v>
      </c>
      <c r="V46" s="774" t="s">
        <v>2164</v>
      </c>
      <c r="W46" s="774" t="s">
        <v>2164</v>
      </c>
      <c r="X46" s="774"/>
      <c r="Y46" s="930"/>
      <c r="Z46" s="777" t="s">
        <v>2165</v>
      </c>
      <c r="AA46" s="777" t="s">
        <v>2166</v>
      </c>
      <c r="AB46" s="777" t="s">
        <v>2166</v>
      </c>
      <c r="AC46" s="777" t="s">
        <v>2166</v>
      </c>
      <c r="AD46" s="777"/>
    </row>
    <row r="47" spans="1:30" ht="54" customHeight="1">
      <c r="A47" s="776"/>
      <c r="B47" s="829">
        <v>30</v>
      </c>
      <c r="C47" s="774" t="s">
        <v>2167</v>
      </c>
      <c r="D47" s="897"/>
      <c r="E47" s="774"/>
      <c r="F47" s="774"/>
      <c r="G47" s="774"/>
      <c r="H47" s="821"/>
      <c r="I47" s="935" t="str">
        <f t="shared" si="1"/>
        <v>2.12.1</v>
      </c>
      <c r="J47" s="935" t="str">
        <f t="shared" si="2"/>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K47" s="935">
        <f t="shared" si="3"/>
        <v>0</v>
      </c>
      <c r="L47" s="775" t="str">
        <f t="shared" si="4"/>
        <v>2.12.1</v>
      </c>
      <c r="M47" s="775" t="str">
        <f t="shared" si="5"/>
        <v>Информация об объемах товаров и услуг, их стоимости и способах приобретения у тех организаций, сумма оплаты услуг которых превышает 20 процентов суммы расходов по указанной статье расходов</v>
      </c>
      <c r="N47" s="775" t="str">
        <f t="shared" si="6"/>
        <v/>
      </c>
      <c r="O47" s="887" t="s">
        <v>2168</v>
      </c>
      <c r="P47" s="887" t="s">
        <v>2145</v>
      </c>
      <c r="Q47" s="887" t="s">
        <v>2168</v>
      </c>
      <c r="R47" s="887" t="s">
        <v>2145</v>
      </c>
      <c r="S47" s="887"/>
      <c r="T47" s="774" t="s">
        <v>2169</v>
      </c>
      <c r="U47" s="774" t="s">
        <v>2169</v>
      </c>
      <c r="V47" s="774" t="s">
        <v>2169</v>
      </c>
      <c r="W47" s="774" t="s">
        <v>2169</v>
      </c>
      <c r="X47" s="774"/>
      <c r="Y47" s="930"/>
      <c r="Z47" s="777"/>
      <c r="AA47" s="780"/>
      <c r="AB47" s="780"/>
      <c r="AC47" s="780"/>
      <c r="AD47" s="777"/>
    </row>
    <row r="48" spans="1:30" ht="54" customHeight="1">
      <c r="A48" s="776"/>
      <c r="B48" s="829">
        <v>31</v>
      </c>
      <c r="C48" s="774">
        <v>16</v>
      </c>
      <c r="D48" s="897"/>
      <c r="E48" s="774"/>
      <c r="F48" s="774"/>
      <c r="G48" s="774"/>
      <c r="H48" s="821"/>
      <c r="I48" s="935">
        <f t="shared" si="1"/>
        <v>0</v>
      </c>
      <c r="J48" s="935">
        <f t="shared" si="2"/>
        <v>0</v>
      </c>
      <c r="K48" s="935">
        <f t="shared" si="3"/>
        <v>0</v>
      </c>
      <c r="L48" s="775" t="str">
        <f t="shared" si="4"/>
        <v/>
      </c>
      <c r="M48" s="775" t="str">
        <f t="shared" si="5"/>
        <v/>
      </c>
      <c r="N48" s="775" t="str">
        <f t="shared" si="6"/>
        <v/>
      </c>
      <c r="O48" s="887"/>
      <c r="P48" s="887" t="s">
        <v>2152</v>
      </c>
      <c r="Q48" s="887" t="s">
        <v>2170</v>
      </c>
      <c r="R48" s="887" t="s">
        <v>2152</v>
      </c>
      <c r="S48" s="887"/>
      <c r="T48" s="774"/>
      <c r="U48" s="774" t="s">
        <v>2171</v>
      </c>
      <c r="V48" s="774" t="s">
        <v>2172</v>
      </c>
      <c r="W48" s="774" t="s">
        <v>2172</v>
      </c>
      <c r="X48" s="774"/>
      <c r="Y48" s="930"/>
      <c r="Z48" s="777"/>
      <c r="AA48" s="780" t="s">
        <v>2166</v>
      </c>
      <c r="AB48" s="780" t="s">
        <v>2166</v>
      </c>
      <c r="AC48" s="780" t="s">
        <v>2166</v>
      </c>
      <c r="AD48" s="777"/>
    </row>
    <row r="49" spans="1:30" ht="54" customHeight="1">
      <c r="A49" s="776"/>
      <c r="B49" s="829">
        <v>32</v>
      </c>
      <c r="C49" s="774" t="s">
        <v>2173</v>
      </c>
      <c r="D49" s="897"/>
      <c r="E49" s="774"/>
      <c r="F49" s="774"/>
      <c r="G49" s="774"/>
      <c r="H49" s="821"/>
      <c r="I49" s="935">
        <f t="shared" si="1"/>
        <v>0</v>
      </c>
      <c r="J49" s="935">
        <f t="shared" si="2"/>
        <v>0</v>
      </c>
      <c r="K49" s="935">
        <f t="shared" si="3"/>
        <v>0</v>
      </c>
      <c r="L49" s="775" t="str">
        <f t="shared" si="4"/>
        <v/>
      </c>
      <c r="M49" s="775" t="str">
        <f t="shared" si="5"/>
        <v/>
      </c>
      <c r="N49" s="775" t="str">
        <f t="shared" si="6"/>
        <v/>
      </c>
      <c r="O49" s="887"/>
      <c r="P49" s="887" t="s">
        <v>2156</v>
      </c>
      <c r="Q49" s="887" t="s">
        <v>2174</v>
      </c>
      <c r="R49" s="887" t="s">
        <v>2156</v>
      </c>
      <c r="S49" s="887"/>
      <c r="T49" s="774"/>
      <c r="U49" s="774" t="s">
        <v>2169</v>
      </c>
      <c r="V49" s="774" t="s">
        <v>2169</v>
      </c>
      <c r="W49" s="774" t="s">
        <v>2169</v>
      </c>
      <c r="X49" s="774"/>
      <c r="Y49" s="930"/>
      <c r="Z49" s="777"/>
      <c r="AA49" s="780"/>
      <c r="AB49" s="780"/>
      <c r="AC49" s="780"/>
      <c r="AD49" s="777"/>
    </row>
    <row r="50" spans="1:30" ht="126" customHeight="1">
      <c r="A50" s="776"/>
      <c r="B50" s="829">
        <v>33</v>
      </c>
      <c r="C50" s="774">
        <v>17</v>
      </c>
      <c r="D50" s="897"/>
      <c r="E50" s="774"/>
      <c r="F50" s="774"/>
      <c r="G50" s="774"/>
      <c r="H50" s="821"/>
      <c r="I50" s="935" t="str">
        <f t="shared" ref="I50:I81" si="7">INDEX(TEMPLATE_NUMBER_POINT_FHD,B50,MATCH(TEMPLATE_SPHERE,TEMPLATE_SPHERE_LIST_FOR_NOTE,0))</f>
        <v>2.13</v>
      </c>
      <c r="J50" s="935" t="str">
        <f t="shared" ref="J50:J81" si="8">INDEX(TEMPLATE_DATA_POINT_FHD,B50,MATCH(TEMPLATE_SPHERE,TEMPLATE_SPHERE_LIST_FOR_NOTE,0))</f>
        <v>Прочие расходы, которые подлежат отнесению на регулируемые виды деятельности в соответствии с законодательством Российской Федерации</v>
      </c>
      <c r="K50" s="935" t="str">
        <f t="shared" ref="K50:K81" si="9">INDEX(TEMPLATE_NOTE_POINT_FHD,B50,MATCH(TEMPLATE_SPHERE,TEMPLATE_SPHERE_LIST_FOR_NOTE,0))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L50" s="775" t="str">
        <f t="shared" ref="L50:L81" si="10">IF(I50=0,"",I50)</f>
        <v>2.13</v>
      </c>
      <c r="M50" s="775" t="str">
        <f t="shared" ref="M50:M81" si="11">IF(J50=0,"",J50)</f>
        <v>Прочие расходы, которые подлежат отнесению на регулируемые виды деятельности в соответствии с законодательством Российской Федерации</v>
      </c>
      <c r="N50" s="775" t="str">
        <f t="shared" ref="N50:N81" si="12">IF(K50=0,"",K50)</f>
        <v>Указывается общая сумма прочих расходов, которые подлежат отнесению на регулируемые виды деятельности в соответствии с законодательством в сфере теплоснабжения.</v>
      </c>
      <c r="O50" s="887" t="s">
        <v>2170</v>
      </c>
      <c r="P50" s="887" t="s">
        <v>2163</v>
      </c>
      <c r="Q50" s="887" t="s">
        <v>2175</v>
      </c>
      <c r="R50" s="887" t="s">
        <v>2163</v>
      </c>
      <c r="S50" s="887"/>
      <c r="T50" s="774" t="s">
        <v>2176</v>
      </c>
      <c r="U50" s="774" t="s">
        <v>2177</v>
      </c>
      <c r="V50" s="774" t="s">
        <v>2178</v>
      </c>
      <c r="W50" s="774" t="s">
        <v>2179</v>
      </c>
      <c r="X50" s="774"/>
      <c r="Y50" s="930"/>
      <c r="Z50" s="777" t="s">
        <v>2180</v>
      </c>
      <c r="AA50" s="780" t="s">
        <v>2181</v>
      </c>
      <c r="AB50" s="780" t="s">
        <v>2181</v>
      </c>
      <c r="AC50" s="780" t="s">
        <v>2181</v>
      </c>
      <c r="AD50" s="777"/>
    </row>
    <row r="51" spans="1:30" ht="27" customHeight="1">
      <c r="A51" s="776"/>
      <c r="B51" s="829">
        <v>34</v>
      </c>
      <c r="C51" s="774" t="s">
        <v>2182</v>
      </c>
      <c r="D51" s="897"/>
      <c r="E51" s="774"/>
      <c r="F51" s="774"/>
      <c r="G51" s="774"/>
      <c r="H51" s="821"/>
      <c r="I51" s="935" t="str">
        <f t="shared" si="7"/>
        <v>3</v>
      </c>
      <c r="J51" s="935" t="str">
        <f t="shared" si="8"/>
        <v>Валовая прибыль (убытки) от реализации товаров и оказания услуг по регулируемому виду деятельности</v>
      </c>
      <c r="K51" s="935">
        <f t="shared" si="9"/>
        <v>0</v>
      </c>
      <c r="L51" s="775" t="str">
        <f t="shared" si="10"/>
        <v>3</v>
      </c>
      <c r="M51" s="775" t="str">
        <f t="shared" si="11"/>
        <v>Валовая прибыль (убытки) от реализации товаров и оказания услуг по регулируемому виду деятельности</v>
      </c>
      <c r="N51" s="775" t="str">
        <f t="shared" si="12"/>
        <v/>
      </c>
      <c r="O51" s="887" t="s">
        <v>95</v>
      </c>
      <c r="P51" s="887"/>
      <c r="Q51" s="887"/>
      <c r="R51" s="887"/>
      <c r="S51" s="887"/>
      <c r="T51" s="774" t="s">
        <v>2183</v>
      </c>
      <c r="U51" s="774"/>
      <c r="V51" s="774"/>
      <c r="W51" s="774"/>
      <c r="X51" s="774"/>
      <c r="Y51" s="930"/>
      <c r="Z51" s="777"/>
      <c r="AA51" s="780"/>
      <c r="AB51" s="780"/>
      <c r="AC51" s="780"/>
      <c r="AD51" s="777"/>
    </row>
    <row r="52" spans="1:30" ht="36" customHeight="1">
      <c r="A52" s="776"/>
      <c r="B52" s="829">
        <v>35</v>
      </c>
      <c r="C52" s="774" t="s">
        <v>2076</v>
      </c>
      <c r="D52" s="897" t="s">
        <v>2076</v>
      </c>
      <c r="E52" s="774" t="s">
        <v>2076</v>
      </c>
      <c r="F52" s="774" t="s">
        <v>2076</v>
      </c>
      <c r="G52" s="774"/>
      <c r="H52" s="821"/>
      <c r="I52" s="935" t="str">
        <f t="shared" si="7"/>
        <v>4</v>
      </c>
      <c r="J52" s="935" t="str">
        <f t="shared" si="8"/>
        <v>Чистая прибыль, полученная от регулируемого вида деятельности, в том числе:</v>
      </c>
      <c r="K52" s="935" t="str">
        <f t="shared" si="9"/>
        <v>Указывается общая сумма чистой прибыли, полученной от регулируемого вида деятельности.</v>
      </c>
      <c r="L52" s="775" t="str">
        <f t="shared" si="10"/>
        <v>4</v>
      </c>
      <c r="M52" s="775" t="str">
        <f t="shared" si="11"/>
        <v>Чистая прибыль, полученная от регулируемого вида деятельности, в том числе:</v>
      </c>
      <c r="N52" s="775" t="str">
        <f t="shared" si="12"/>
        <v>Указывается общая сумма чистой прибыли, полученной от регулируемого вида деятельности.</v>
      </c>
      <c r="O52" s="887" t="s">
        <v>96</v>
      </c>
      <c r="P52" s="887" t="s">
        <v>95</v>
      </c>
      <c r="Q52" s="887" t="s">
        <v>95</v>
      </c>
      <c r="R52" s="887" t="s">
        <v>95</v>
      </c>
      <c r="S52" s="887"/>
      <c r="T52" s="774" t="s">
        <v>2184</v>
      </c>
      <c r="U52" s="774" t="s">
        <v>2185</v>
      </c>
      <c r="V52" s="774" t="s">
        <v>2186</v>
      </c>
      <c r="W52" s="774" t="s">
        <v>2187</v>
      </c>
      <c r="X52" s="774"/>
      <c r="Y52" s="930"/>
      <c r="Z52" s="777" t="s">
        <v>795</v>
      </c>
      <c r="AA52" s="780" t="s">
        <v>795</v>
      </c>
      <c r="AB52" s="780" t="s">
        <v>795</v>
      </c>
      <c r="AC52" s="780" t="s">
        <v>795</v>
      </c>
      <c r="AD52" s="777"/>
    </row>
    <row r="53" spans="1:30" ht="36" customHeight="1">
      <c r="A53" s="776"/>
      <c r="B53" s="829">
        <v>36</v>
      </c>
      <c r="C53" s="774">
        <v>1</v>
      </c>
      <c r="D53" s="897"/>
      <c r="E53" s="774"/>
      <c r="F53" s="774"/>
      <c r="G53" s="774"/>
      <c r="H53" s="821"/>
      <c r="I53" s="935" t="str">
        <f t="shared" si="7"/>
        <v>4.1</v>
      </c>
      <c r="J53" s="935" t="str">
        <f t="shared" si="8"/>
        <v>Размер расходования чистой прибыли на финансирование мероприятий, предусмотренных инвестиционной программой регулируемой организации</v>
      </c>
      <c r="K53" s="935">
        <f t="shared" si="9"/>
        <v>0</v>
      </c>
      <c r="L53" s="775" t="str">
        <f t="shared" si="10"/>
        <v>4.1</v>
      </c>
      <c r="M53" s="775" t="str">
        <f t="shared" si="11"/>
        <v>Размер расходования чистой прибыли на финансирование мероприятий, предусмотренных инвестиционной программой регулируемой организации</v>
      </c>
      <c r="N53" s="775" t="str">
        <f t="shared" si="12"/>
        <v/>
      </c>
      <c r="O53" s="887" t="s">
        <v>799</v>
      </c>
      <c r="P53" s="887" t="s">
        <v>369</v>
      </c>
      <c r="Q53" s="887" t="s">
        <v>369</v>
      </c>
      <c r="R53" s="887" t="s">
        <v>369</v>
      </c>
      <c r="S53" s="887"/>
      <c r="T53" s="774" t="s">
        <v>2188</v>
      </c>
      <c r="U53" s="774" t="s">
        <v>2188</v>
      </c>
      <c r="V53" s="774" t="s">
        <v>2188</v>
      </c>
      <c r="W53" s="774" t="s">
        <v>2188</v>
      </c>
      <c r="X53" s="774"/>
      <c r="Y53" s="930"/>
      <c r="Z53" s="777"/>
      <c r="AA53" s="780"/>
      <c r="AB53" s="777"/>
      <c r="AC53" s="777"/>
      <c r="AD53" s="777"/>
    </row>
    <row r="54" spans="1:30" ht="18" customHeight="1">
      <c r="A54" s="776"/>
      <c r="B54" s="829">
        <v>37</v>
      </c>
      <c r="C54" s="774" t="s">
        <v>2082</v>
      </c>
      <c r="D54" s="897" t="s">
        <v>2082</v>
      </c>
      <c r="E54" s="774" t="s">
        <v>2082</v>
      </c>
      <c r="F54" s="774" t="s">
        <v>2082</v>
      </c>
      <c r="G54" s="774"/>
      <c r="H54" s="821"/>
      <c r="I54" s="935" t="str">
        <f t="shared" si="7"/>
        <v>5</v>
      </c>
      <c r="J54" s="935" t="str">
        <f t="shared" si="8"/>
        <v>Изменение стоимости основных фондов, в том числе:</v>
      </c>
      <c r="K54" s="935" t="str">
        <f t="shared" si="9"/>
        <v>Указывается общее изменение стоимости основных фондов.</v>
      </c>
      <c r="L54" s="775" t="str">
        <f t="shared" si="10"/>
        <v>5</v>
      </c>
      <c r="M54" s="775" t="str">
        <f t="shared" si="11"/>
        <v>Изменение стоимости основных фондов, в том числе:</v>
      </c>
      <c r="N54" s="775" t="str">
        <f t="shared" si="12"/>
        <v>Указывается общее изменение стоимости основных фондов.</v>
      </c>
      <c r="O54" s="887" t="s">
        <v>116</v>
      </c>
      <c r="P54" s="887" t="s">
        <v>96</v>
      </c>
      <c r="Q54" s="887" t="s">
        <v>96</v>
      </c>
      <c r="R54" s="887" t="s">
        <v>96</v>
      </c>
      <c r="S54" s="887"/>
      <c r="T54" s="774" t="s">
        <v>797</v>
      </c>
      <c r="U54" s="774" t="s">
        <v>797</v>
      </c>
      <c r="V54" s="774" t="s">
        <v>797</v>
      </c>
      <c r="W54" s="774" t="s">
        <v>797</v>
      </c>
      <c r="X54" s="774"/>
      <c r="Y54" s="930"/>
      <c r="Z54" s="777" t="s">
        <v>798</v>
      </c>
      <c r="AA54" s="777" t="s">
        <v>798</v>
      </c>
      <c r="AB54" s="777" t="s">
        <v>798</v>
      </c>
      <c r="AC54" s="777" t="s">
        <v>798</v>
      </c>
      <c r="AD54" s="777"/>
    </row>
    <row r="55" spans="1:30" ht="36" customHeight="1">
      <c r="A55" s="776"/>
      <c r="B55" s="829">
        <v>38</v>
      </c>
      <c r="C55" s="774">
        <v>1</v>
      </c>
      <c r="D55" s="897"/>
      <c r="E55" s="774"/>
      <c r="F55" s="774"/>
      <c r="G55" s="774"/>
      <c r="H55" s="821"/>
      <c r="I55" s="935" t="str">
        <f t="shared" si="7"/>
        <v>5.1</v>
      </c>
      <c r="J55" s="935" t="str">
        <f t="shared" si="8"/>
        <v>Изменение стоимости основных фондов за счет:</v>
      </c>
      <c r="K55" s="935" t="str">
        <f t="shared" si="9"/>
        <v>Указываются общее изменение стоимости основных фондов за счет их ввода в эксплуатацию и вывода из эксплуатации.</v>
      </c>
      <c r="L55" s="775" t="str">
        <f t="shared" si="10"/>
        <v>5.1</v>
      </c>
      <c r="M55" s="775" t="str">
        <f t="shared" si="11"/>
        <v>Изменение стоимости основных фондов за счет:</v>
      </c>
      <c r="N55" s="775" t="str">
        <f t="shared" si="12"/>
        <v>Указываются общее изменение стоимости основных фондов за счет их ввода в эксплуатацию и вывода из эксплуатации.</v>
      </c>
      <c r="O55" s="887" t="s">
        <v>358</v>
      </c>
      <c r="P55" s="887" t="s">
        <v>799</v>
      </c>
      <c r="Q55" s="887" t="s">
        <v>799</v>
      </c>
      <c r="R55" s="887" t="s">
        <v>799</v>
      </c>
      <c r="S55" s="887"/>
      <c r="T55" s="775" t="str">
        <f>IF(TITLE_TYPE_ORG="Регулируемая организация","Изменение стоимости основных фондов за счет:","за счет их ввода в эксплуатацию (вывода из эксплуатации)")</f>
        <v>Изменение стоимости основных фондов за счет:</v>
      </c>
      <c r="U55" s="774" t="s">
        <v>2189</v>
      </c>
      <c r="V55" s="774" t="s">
        <v>2189</v>
      </c>
      <c r="W55" s="774" t="s">
        <v>2189</v>
      </c>
      <c r="X55" s="774"/>
      <c r="Y55" s="930"/>
      <c r="Z55" s="777" t="s">
        <v>2190</v>
      </c>
      <c r="AA55" s="777" t="s">
        <v>2190</v>
      </c>
      <c r="AB55" s="777" t="s">
        <v>2190</v>
      </c>
      <c r="AC55" s="777" t="s">
        <v>2190</v>
      </c>
      <c r="AD55" s="777"/>
    </row>
    <row r="56" spans="1:30" ht="27" customHeight="1">
      <c r="A56" s="776"/>
      <c r="B56" s="829">
        <v>39</v>
      </c>
      <c r="C56" s="774" t="s">
        <v>1067</v>
      </c>
      <c r="D56" s="897"/>
      <c r="E56" s="774"/>
      <c r="F56" s="774"/>
      <c r="G56" s="774"/>
      <c r="H56" s="821"/>
      <c r="I56" s="935" t="str">
        <f t="shared" si="7"/>
        <v>5.1.1</v>
      </c>
      <c r="J56" s="935" t="str">
        <f t="shared" si="8"/>
        <v>Изменения стоимости основных фондов за счет их ввода в эксплуатацию</v>
      </c>
      <c r="K56" s="935" t="str">
        <f t="shared" si="9"/>
        <v>Указываются изменение стоимости основных фондов за счет их ввода в эксплуатацию.</v>
      </c>
      <c r="L56" s="775" t="str">
        <f t="shared" si="10"/>
        <v>5.1.1</v>
      </c>
      <c r="M56" s="775" t="str">
        <f t="shared" si="11"/>
        <v>Изменения стоимости основных фондов за счет их ввода в эксплуатацию</v>
      </c>
      <c r="N56" s="775" t="str">
        <f t="shared" si="12"/>
        <v>Указываются изменение стоимости основных фондов за счет их ввода в эксплуатацию.</v>
      </c>
      <c r="O56" s="887" t="s">
        <v>1184</v>
      </c>
      <c r="P56" s="887" t="s">
        <v>802</v>
      </c>
      <c r="Q56" s="887" t="s">
        <v>802</v>
      </c>
      <c r="R56" s="887" t="s">
        <v>802</v>
      </c>
      <c r="S56" s="887"/>
      <c r="T56" s="775" t="str">
        <f>IF(TITLE_TYPE_ORG="Регулируемая организация","Изменения стоимости основных фондов за счет их ввода в эксплуатацию","за счет их ввода в эксплуатацию")</f>
        <v>Изменения стоимости основных фондов за счет их ввода в эксплуатацию</v>
      </c>
      <c r="U56" s="774" t="s">
        <v>2191</v>
      </c>
      <c r="V56" s="774" t="s">
        <v>2191</v>
      </c>
      <c r="W56" s="774" t="s">
        <v>2191</v>
      </c>
      <c r="X56" s="774"/>
      <c r="Y56" s="930"/>
      <c r="Z56" s="777" t="s">
        <v>804</v>
      </c>
      <c r="AA56" s="777" t="s">
        <v>804</v>
      </c>
      <c r="AB56" s="777" t="s">
        <v>804</v>
      </c>
      <c r="AC56" s="777" t="s">
        <v>804</v>
      </c>
      <c r="AD56" s="777"/>
    </row>
    <row r="57" spans="1:30" ht="27" customHeight="1">
      <c r="A57" s="776"/>
      <c r="B57" s="829">
        <v>40</v>
      </c>
      <c r="C57" s="774" t="s">
        <v>1069</v>
      </c>
      <c r="D57" s="897"/>
      <c r="E57" s="774"/>
      <c r="F57" s="774"/>
      <c r="G57" s="774"/>
      <c r="H57" s="821"/>
      <c r="I57" s="935" t="str">
        <f t="shared" si="7"/>
        <v>5.1.2</v>
      </c>
      <c r="J57" s="935" t="str">
        <f t="shared" si="8"/>
        <v>Изменения стоимости основных фондов за счет их вывода в эксплуатацию</v>
      </c>
      <c r="K57" s="935" t="str">
        <f t="shared" si="9"/>
        <v>Указываются изменение стоимости основных фондов за счет их вывода из эксплуатации.</v>
      </c>
      <c r="L57" s="775" t="str">
        <f t="shared" si="10"/>
        <v>5.1.2</v>
      </c>
      <c r="M57" s="775" t="str">
        <f t="shared" si="11"/>
        <v>Изменения стоимости основных фондов за счет их вывода в эксплуатацию</v>
      </c>
      <c r="N57" s="775" t="str">
        <f t="shared" si="12"/>
        <v>Указываются изменение стоимости основных фондов за счет их вывода из эксплуатации.</v>
      </c>
      <c r="O57" s="887" t="s">
        <v>2192</v>
      </c>
      <c r="P57" s="887" t="s">
        <v>805</v>
      </c>
      <c r="Q57" s="887" t="s">
        <v>805</v>
      </c>
      <c r="R57" s="887" t="s">
        <v>805</v>
      </c>
      <c r="S57" s="887"/>
      <c r="T57" s="775" t="str">
        <f>IF(TITLE_TYPE_ORG="Регулируемая организация","Изменения стоимости основных фондов за счет их вывода в эксплуатацию","за счет их вывода в эксплуатацию")</f>
        <v>Изменения стоимости основных фондов за счет их вывода в эксплуатацию</v>
      </c>
      <c r="U57" s="774" t="s">
        <v>2193</v>
      </c>
      <c r="V57" s="774" t="s">
        <v>2193</v>
      </c>
      <c r="W57" s="774" t="s">
        <v>2193</v>
      </c>
      <c r="X57" s="774"/>
      <c r="Y57" s="930"/>
      <c r="Z57" s="777" t="s">
        <v>807</v>
      </c>
      <c r="AA57" s="777" t="s">
        <v>807</v>
      </c>
      <c r="AB57" s="777" t="s">
        <v>807</v>
      </c>
      <c r="AC57" s="777" t="s">
        <v>807</v>
      </c>
      <c r="AD57" s="777"/>
    </row>
    <row r="58" spans="1:30" ht="18" customHeight="1">
      <c r="A58" s="776"/>
      <c r="B58" s="829">
        <v>41</v>
      </c>
      <c r="C58" s="774">
        <v>2</v>
      </c>
      <c r="D58" s="897"/>
      <c r="E58" s="774"/>
      <c r="F58" s="774"/>
      <c r="G58" s="774"/>
      <c r="H58" s="821"/>
      <c r="I58" s="935" t="str">
        <f t="shared" si="7"/>
        <v>5.2</v>
      </c>
      <c r="J58" s="935" t="str">
        <f t="shared" si="8"/>
        <v>Изменение стоимости основных фондов за счет их переоценки</v>
      </c>
      <c r="K58" s="935">
        <f t="shared" si="9"/>
        <v>0</v>
      </c>
      <c r="L58" s="775" t="str">
        <f t="shared" si="10"/>
        <v>5.2</v>
      </c>
      <c r="M58" s="775" t="str">
        <f t="shared" si="11"/>
        <v>Изменение стоимости основных фондов за счет их переоценки</v>
      </c>
      <c r="N58" s="775" t="str">
        <f t="shared" si="12"/>
        <v/>
      </c>
      <c r="O58" s="887" t="s">
        <v>927</v>
      </c>
      <c r="P58" s="887" t="s">
        <v>841</v>
      </c>
      <c r="Q58" s="887" t="s">
        <v>841</v>
      </c>
      <c r="R58" s="887" t="s">
        <v>841</v>
      </c>
      <c r="S58" s="887"/>
      <c r="T58" s="775" t="str">
        <f>IF(TITLE_TYPE_ORG="Регулируемая организация","Изменение стоимости основных фондов за счет их переоценки","за счет их переоценки")</f>
        <v>Изменение стоимости основных фондов за счет их переоценки</v>
      </c>
      <c r="U58" s="774" t="s">
        <v>2194</v>
      </c>
      <c r="V58" s="774" t="s">
        <v>2194</v>
      </c>
      <c r="W58" s="774" t="s">
        <v>2194</v>
      </c>
      <c r="X58" s="774"/>
      <c r="Y58" s="930"/>
      <c r="Z58" s="777"/>
      <c r="AA58" s="780"/>
      <c r="AB58" s="777"/>
      <c r="AC58" s="777"/>
      <c r="AD58" s="777"/>
    </row>
    <row r="59" spans="1:30" ht="36" customHeight="1">
      <c r="A59" s="776"/>
      <c r="B59" s="829">
        <v>42</v>
      </c>
      <c r="C59" s="774">
        <v>3</v>
      </c>
      <c r="D59" s="897" t="s">
        <v>2182</v>
      </c>
      <c r="E59" s="774" t="s">
        <v>2182</v>
      </c>
      <c r="F59" s="774" t="s">
        <v>2182</v>
      </c>
      <c r="G59" s="774"/>
      <c r="H59" s="821"/>
      <c r="I59" s="935">
        <f t="shared" si="7"/>
        <v>0</v>
      </c>
      <c r="J59" s="935">
        <f t="shared" si="8"/>
        <v>0</v>
      </c>
      <c r="K59" s="935">
        <f t="shared" si="9"/>
        <v>0</v>
      </c>
      <c r="L59" s="775" t="str">
        <f t="shared" si="10"/>
        <v/>
      </c>
      <c r="M59" s="775" t="str">
        <f t="shared" si="11"/>
        <v/>
      </c>
      <c r="N59" s="775" t="str">
        <f t="shared" si="12"/>
        <v/>
      </c>
      <c r="O59" s="887"/>
      <c r="P59" s="887" t="s">
        <v>116</v>
      </c>
      <c r="Q59" s="887" t="s">
        <v>116</v>
      </c>
      <c r="R59" s="887" t="s">
        <v>116</v>
      </c>
      <c r="S59" s="887"/>
      <c r="T59" s="774"/>
      <c r="U59" s="774" t="s">
        <v>2195</v>
      </c>
      <c r="V59" s="774" t="s">
        <v>2196</v>
      </c>
      <c r="W59" s="774" t="s">
        <v>2197</v>
      </c>
      <c r="X59" s="774"/>
      <c r="Y59" s="930"/>
      <c r="Z59" s="777"/>
      <c r="AA59" s="780"/>
      <c r="AB59" s="777"/>
      <c r="AC59" s="777"/>
      <c r="AD59" s="777"/>
    </row>
    <row r="60" spans="1:30" ht="81" customHeight="1">
      <c r="A60" s="776"/>
      <c r="B60" s="829">
        <v>43</v>
      </c>
      <c r="C60" s="774" t="s">
        <v>2198</v>
      </c>
      <c r="D60" s="897" t="s">
        <v>2198</v>
      </c>
      <c r="E60" s="774" t="s">
        <v>2198</v>
      </c>
      <c r="F60" s="774" t="s">
        <v>2198</v>
      </c>
      <c r="G60" s="774"/>
      <c r="H60" s="821"/>
      <c r="I60" s="935" t="str">
        <f t="shared" si="7"/>
        <v>6</v>
      </c>
      <c r="J60" s="935" t="str">
        <f t="shared" si="8"/>
        <v>Годовая бухгалтерская (финансовая) отчетность, включая бухгалтерский баланс и приложения к нему</v>
      </c>
      <c r="K60" s="935" t="str">
        <f t="shared" si="9"/>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L60" s="775" t="str">
        <f t="shared" si="10"/>
        <v>6</v>
      </c>
      <c r="M60" s="775" t="str">
        <f t="shared" si="11"/>
        <v>Годовая бухгалтерская (финансовая) отчетность, включая бухгалтерский баланс и приложения к нему</v>
      </c>
      <c r="N60" s="775" t="str">
        <f t="shared" si="12"/>
        <v>Указывается ссылка на документ, предварительно загруженный в хранилище файлов ФГИС ЕИАС._x000D_
Регулируемыми организациями информация раскрывается в случае, если выручка от регулируемых видов деятельности превышает 80 процентов совокупной выручки за отчетный год.</v>
      </c>
      <c r="O60" s="887" t="s">
        <v>97</v>
      </c>
      <c r="P60" s="887" t="s">
        <v>97</v>
      </c>
      <c r="Q60" s="887" t="s">
        <v>97</v>
      </c>
      <c r="R60" s="887" t="s">
        <v>97</v>
      </c>
      <c r="S60" s="887"/>
      <c r="T60" s="774" t="s">
        <v>675</v>
      </c>
      <c r="U60" s="774" t="s">
        <v>675</v>
      </c>
      <c r="V60" s="774" t="s">
        <v>675</v>
      </c>
      <c r="W60" s="774" t="s">
        <v>675</v>
      </c>
      <c r="X60" s="774"/>
      <c r="Y60" s="930"/>
      <c r="Z60" s="777" t="s">
        <v>2199</v>
      </c>
      <c r="AA60" s="780" t="s">
        <v>2200</v>
      </c>
      <c r="AB60" s="777" t="s">
        <v>2201</v>
      </c>
      <c r="AC60" s="777" t="s">
        <v>2200</v>
      </c>
      <c r="AD60" s="777"/>
    </row>
    <row r="61" spans="1:30" ht="9" customHeight="1">
      <c r="A61" s="776"/>
      <c r="B61" s="829">
        <v>44</v>
      </c>
      <c r="C61" s="774"/>
      <c r="D61" s="897" t="s">
        <v>2202</v>
      </c>
      <c r="E61" s="774"/>
      <c r="F61" s="774"/>
      <c r="G61" s="774"/>
      <c r="H61" s="821"/>
      <c r="I61" s="935">
        <f t="shared" si="7"/>
        <v>0</v>
      </c>
      <c r="J61" s="935">
        <f t="shared" si="8"/>
        <v>0</v>
      </c>
      <c r="K61" s="935">
        <f t="shared" si="9"/>
        <v>0</v>
      </c>
      <c r="L61" s="775" t="str">
        <f t="shared" si="10"/>
        <v/>
      </c>
      <c r="M61" s="775" t="str">
        <f t="shared" si="11"/>
        <v/>
      </c>
      <c r="N61" s="775" t="str">
        <f t="shared" si="12"/>
        <v/>
      </c>
      <c r="O61" s="887"/>
      <c r="P61" s="887" t="s">
        <v>98</v>
      </c>
      <c r="Q61" s="887"/>
      <c r="R61" s="887"/>
      <c r="S61" s="887"/>
      <c r="T61" s="774"/>
      <c r="U61" s="774" t="s">
        <v>2203</v>
      </c>
      <c r="V61" s="774"/>
      <c r="W61" s="774"/>
      <c r="X61" s="774"/>
      <c r="Y61" s="930"/>
      <c r="Z61" s="777"/>
      <c r="AA61" s="780"/>
      <c r="AB61" s="777"/>
      <c r="AC61" s="777"/>
      <c r="AD61" s="777"/>
    </row>
    <row r="62" spans="1:30" ht="9" customHeight="1">
      <c r="A62" s="776"/>
      <c r="B62" s="829">
        <v>45</v>
      </c>
      <c r="C62" s="774"/>
      <c r="D62" s="897" t="s">
        <v>2204</v>
      </c>
      <c r="E62" s="774"/>
      <c r="F62" s="774"/>
      <c r="G62" s="774"/>
      <c r="H62" s="821"/>
      <c r="I62" s="935">
        <f t="shared" si="7"/>
        <v>0</v>
      </c>
      <c r="J62" s="935">
        <f t="shared" si="8"/>
        <v>0</v>
      </c>
      <c r="K62" s="935">
        <f t="shared" si="9"/>
        <v>0</v>
      </c>
      <c r="L62" s="775" t="str">
        <f t="shared" si="10"/>
        <v/>
      </c>
      <c r="M62" s="775" t="str">
        <f t="shared" si="11"/>
        <v/>
      </c>
      <c r="N62" s="775" t="str">
        <f t="shared" si="12"/>
        <v/>
      </c>
      <c r="O62" s="887"/>
      <c r="P62" s="887" t="s">
        <v>117</v>
      </c>
      <c r="Q62" s="887"/>
      <c r="R62" s="887"/>
      <c r="S62" s="887"/>
      <c r="T62" s="774"/>
      <c r="U62" s="774" t="s">
        <v>2205</v>
      </c>
      <c r="V62" s="774"/>
      <c r="W62" s="774"/>
      <c r="X62" s="774"/>
      <c r="Y62" s="930"/>
      <c r="Z62" s="777"/>
      <c r="AA62" s="780"/>
      <c r="AB62" s="777"/>
      <c r="AC62" s="777"/>
      <c r="AD62" s="777"/>
    </row>
    <row r="63" spans="1:30" ht="18" customHeight="1">
      <c r="A63" s="776"/>
      <c r="B63" s="829">
        <v>46</v>
      </c>
      <c r="C63" s="774"/>
      <c r="D63" s="897" t="s">
        <v>2206</v>
      </c>
      <c r="E63" s="774"/>
      <c r="F63" s="774"/>
      <c r="G63" s="774"/>
      <c r="H63" s="821"/>
      <c r="I63" s="935">
        <f t="shared" si="7"/>
        <v>0</v>
      </c>
      <c r="J63" s="935">
        <f t="shared" si="8"/>
        <v>0</v>
      </c>
      <c r="K63" s="935">
        <f t="shared" si="9"/>
        <v>0</v>
      </c>
      <c r="L63" s="775" t="str">
        <f t="shared" si="10"/>
        <v/>
      </c>
      <c r="M63" s="775" t="str">
        <f t="shared" si="11"/>
        <v/>
      </c>
      <c r="N63" s="775" t="str">
        <f t="shared" si="12"/>
        <v/>
      </c>
      <c r="O63" s="887"/>
      <c r="P63" s="887" t="s">
        <v>153</v>
      </c>
      <c r="Q63" s="887"/>
      <c r="R63" s="887"/>
      <c r="S63" s="887"/>
      <c r="T63" s="774"/>
      <c r="U63" s="774" t="s">
        <v>2207</v>
      </c>
      <c r="V63" s="774"/>
      <c r="W63" s="774"/>
      <c r="X63" s="774"/>
      <c r="Y63" s="930"/>
      <c r="Z63" s="777"/>
      <c r="AA63" s="780"/>
      <c r="AB63" s="777"/>
      <c r="AC63" s="777"/>
      <c r="AD63" s="777"/>
    </row>
    <row r="64" spans="1:30" ht="18" customHeight="1">
      <c r="A64" s="776"/>
      <c r="B64" s="829">
        <v>47</v>
      </c>
      <c r="C64" s="774"/>
      <c r="D64" s="897" t="s">
        <v>2208</v>
      </c>
      <c r="E64" s="774"/>
      <c r="F64" s="774"/>
      <c r="G64" s="774"/>
      <c r="H64" s="821"/>
      <c r="I64" s="935">
        <f t="shared" si="7"/>
        <v>0</v>
      </c>
      <c r="J64" s="935">
        <f t="shared" si="8"/>
        <v>0</v>
      </c>
      <c r="K64" s="935">
        <f t="shared" si="9"/>
        <v>0</v>
      </c>
      <c r="L64" s="775" t="str">
        <f t="shared" si="10"/>
        <v/>
      </c>
      <c r="M64" s="775" t="str">
        <f t="shared" si="11"/>
        <v/>
      </c>
      <c r="N64" s="775" t="str">
        <f t="shared" si="12"/>
        <v/>
      </c>
      <c r="O64" s="887"/>
      <c r="P64" s="887" t="s">
        <v>154</v>
      </c>
      <c r="Q64" s="887"/>
      <c r="R64" s="887"/>
      <c r="S64" s="887"/>
      <c r="T64" s="774"/>
      <c r="U64" s="774" t="s">
        <v>2209</v>
      </c>
      <c r="V64" s="774"/>
      <c r="W64" s="774"/>
      <c r="X64" s="774"/>
      <c r="Y64" s="930"/>
      <c r="Z64" s="777"/>
      <c r="AA64" s="780" t="s">
        <v>2210</v>
      </c>
      <c r="AB64" s="777"/>
      <c r="AC64" s="777"/>
      <c r="AD64" s="777"/>
    </row>
    <row r="65" spans="1:30" ht="18" customHeight="1">
      <c r="A65" s="776"/>
      <c r="B65" s="829">
        <v>48</v>
      </c>
      <c r="C65" s="774"/>
      <c r="D65" s="897"/>
      <c r="E65" s="774"/>
      <c r="F65" s="774"/>
      <c r="G65" s="774"/>
      <c r="H65" s="821"/>
      <c r="I65" s="935">
        <f t="shared" si="7"/>
        <v>0</v>
      </c>
      <c r="J65" s="935">
        <f t="shared" si="8"/>
        <v>0</v>
      </c>
      <c r="K65" s="935">
        <f t="shared" si="9"/>
        <v>0</v>
      </c>
      <c r="L65" s="775" t="str">
        <f t="shared" si="10"/>
        <v/>
      </c>
      <c r="M65" s="775" t="str">
        <f t="shared" si="11"/>
        <v/>
      </c>
      <c r="N65" s="775" t="str">
        <f t="shared" si="12"/>
        <v/>
      </c>
      <c r="O65" s="887"/>
      <c r="P65" s="887" t="s">
        <v>2123</v>
      </c>
      <c r="Q65" s="887"/>
      <c r="R65" s="887"/>
      <c r="S65" s="887"/>
      <c r="T65" s="774"/>
      <c r="U65" s="774" t="s">
        <v>2211</v>
      </c>
      <c r="V65" s="774"/>
      <c r="W65" s="774"/>
      <c r="X65" s="774"/>
      <c r="Y65" s="930"/>
      <c r="Z65" s="777"/>
      <c r="AA65" s="780"/>
      <c r="AB65" s="777"/>
      <c r="AC65" s="777"/>
      <c r="AD65" s="777"/>
    </row>
    <row r="66" spans="1:30" ht="18" customHeight="1">
      <c r="A66" s="776"/>
      <c r="B66" s="829">
        <v>49</v>
      </c>
      <c r="C66" s="774"/>
      <c r="D66" s="897"/>
      <c r="E66" s="774"/>
      <c r="F66" s="774"/>
      <c r="G66" s="774"/>
      <c r="H66" s="821"/>
      <c r="I66" s="935">
        <f t="shared" si="7"/>
        <v>0</v>
      </c>
      <c r="J66" s="935">
        <f t="shared" si="8"/>
        <v>0</v>
      </c>
      <c r="K66" s="935">
        <f t="shared" si="9"/>
        <v>0</v>
      </c>
      <c r="L66" s="775" t="str">
        <f t="shared" si="10"/>
        <v/>
      </c>
      <c r="M66" s="775" t="str">
        <f t="shared" si="11"/>
        <v/>
      </c>
      <c r="N66" s="775" t="str">
        <f t="shared" si="12"/>
        <v/>
      </c>
      <c r="O66" s="887"/>
      <c r="P66" s="887" t="s">
        <v>2127</v>
      </c>
      <c r="Q66" s="887"/>
      <c r="R66" s="887"/>
      <c r="S66" s="887"/>
      <c r="T66" s="774"/>
      <c r="U66" s="774" t="s">
        <v>2212</v>
      </c>
      <c r="V66" s="774"/>
      <c r="W66" s="774"/>
      <c r="X66" s="774"/>
      <c r="Y66" s="930"/>
      <c r="Z66" s="777"/>
      <c r="AA66" s="780"/>
      <c r="AB66" s="777"/>
      <c r="AC66" s="777"/>
      <c r="AD66" s="777"/>
    </row>
    <row r="67" spans="1:30" ht="27" customHeight="1">
      <c r="A67" s="776"/>
      <c r="B67" s="829">
        <v>50</v>
      </c>
      <c r="C67" s="774"/>
      <c r="D67" s="897"/>
      <c r="E67" s="774"/>
      <c r="F67" s="774"/>
      <c r="G67" s="774"/>
      <c r="H67" s="821"/>
      <c r="I67" s="935">
        <f t="shared" si="7"/>
        <v>0</v>
      </c>
      <c r="J67" s="935">
        <f t="shared" si="8"/>
        <v>0</v>
      </c>
      <c r="K67" s="935">
        <f t="shared" si="9"/>
        <v>0</v>
      </c>
      <c r="L67" s="775" t="str">
        <f t="shared" si="10"/>
        <v/>
      </c>
      <c r="M67" s="775" t="str">
        <f t="shared" si="11"/>
        <v/>
      </c>
      <c r="N67" s="775" t="str">
        <f t="shared" si="12"/>
        <v/>
      </c>
      <c r="O67" s="887"/>
      <c r="P67" s="887" t="s">
        <v>2213</v>
      </c>
      <c r="Q67" s="887"/>
      <c r="R67" s="887"/>
      <c r="S67" s="887"/>
      <c r="T67" s="774"/>
      <c r="U67" s="774" t="s">
        <v>2214</v>
      </c>
      <c r="V67" s="774"/>
      <c r="W67" s="774"/>
      <c r="X67" s="774"/>
      <c r="Y67" s="930"/>
      <c r="Z67" s="777"/>
      <c r="AA67" s="780"/>
      <c r="AB67" s="777"/>
      <c r="AC67" s="777"/>
      <c r="AD67" s="777"/>
    </row>
    <row r="68" spans="1:30" ht="27" customHeight="1">
      <c r="A68" s="776"/>
      <c r="B68" s="829">
        <v>51</v>
      </c>
      <c r="C68" s="774"/>
      <c r="D68" s="897"/>
      <c r="E68" s="774"/>
      <c r="F68" s="774"/>
      <c r="G68" s="774"/>
      <c r="H68" s="821"/>
      <c r="I68" s="935">
        <f t="shared" si="7"/>
        <v>0</v>
      </c>
      <c r="J68" s="935">
        <f t="shared" si="8"/>
        <v>0</v>
      </c>
      <c r="K68" s="935">
        <f t="shared" si="9"/>
        <v>0</v>
      </c>
      <c r="L68" s="775" t="str">
        <f t="shared" si="10"/>
        <v/>
      </c>
      <c r="M68" s="775" t="str">
        <f t="shared" si="11"/>
        <v/>
      </c>
      <c r="N68" s="775" t="str">
        <f t="shared" si="12"/>
        <v/>
      </c>
      <c r="O68" s="887"/>
      <c r="P68" s="887" t="s">
        <v>2215</v>
      </c>
      <c r="Q68" s="887"/>
      <c r="R68" s="887"/>
      <c r="S68" s="887"/>
      <c r="T68" s="774"/>
      <c r="U68" s="774" t="s">
        <v>2216</v>
      </c>
      <c r="V68" s="774"/>
      <c r="W68" s="774"/>
      <c r="X68" s="774"/>
      <c r="Y68" s="930"/>
      <c r="Z68" s="777"/>
      <c r="AA68" s="780"/>
      <c r="AB68" s="777"/>
      <c r="AC68" s="777"/>
      <c r="AD68" s="777"/>
    </row>
    <row r="69" spans="1:30" ht="9" customHeight="1">
      <c r="A69" s="776"/>
      <c r="B69" s="829">
        <v>52</v>
      </c>
      <c r="C69" s="774"/>
      <c r="D69" s="897" t="s">
        <v>2217</v>
      </c>
      <c r="E69" s="774"/>
      <c r="F69" s="774"/>
      <c r="G69" s="774"/>
      <c r="H69" s="821"/>
      <c r="I69" s="935">
        <f t="shared" si="7"/>
        <v>0</v>
      </c>
      <c r="J69" s="935">
        <f t="shared" si="8"/>
        <v>0</v>
      </c>
      <c r="K69" s="935">
        <f t="shared" si="9"/>
        <v>0</v>
      </c>
      <c r="L69" s="775" t="str">
        <f t="shared" si="10"/>
        <v/>
      </c>
      <c r="M69" s="775" t="str">
        <f t="shared" si="11"/>
        <v/>
      </c>
      <c r="N69" s="775" t="str">
        <f t="shared" si="12"/>
        <v/>
      </c>
      <c r="O69" s="887"/>
      <c r="P69" s="887" t="s">
        <v>155</v>
      </c>
      <c r="Q69" s="887"/>
      <c r="R69" s="887"/>
      <c r="S69" s="887"/>
      <c r="T69" s="774"/>
      <c r="U69" s="774" t="s">
        <v>2218</v>
      </c>
      <c r="V69" s="774"/>
      <c r="W69" s="774"/>
      <c r="X69" s="774"/>
      <c r="Y69" s="930"/>
      <c r="Z69" s="777"/>
      <c r="AA69" s="780"/>
      <c r="AB69" s="777"/>
      <c r="AC69" s="777"/>
      <c r="AD69" s="777"/>
    </row>
    <row r="70" spans="1:30" ht="27" customHeight="1">
      <c r="A70" s="776"/>
      <c r="B70" s="829">
        <v>53</v>
      </c>
      <c r="C70" s="774"/>
      <c r="D70" s="897"/>
      <c r="E70" s="774" t="s">
        <v>2202</v>
      </c>
      <c r="F70" s="774"/>
      <c r="G70" s="774"/>
      <c r="H70" s="821"/>
      <c r="I70" s="935">
        <f t="shared" si="7"/>
        <v>0</v>
      </c>
      <c r="J70" s="935">
        <f t="shared" si="8"/>
        <v>0</v>
      </c>
      <c r="K70" s="935">
        <f t="shared" si="9"/>
        <v>0</v>
      </c>
      <c r="L70" s="775" t="str">
        <f t="shared" si="10"/>
        <v/>
      </c>
      <c r="M70" s="775" t="str">
        <f t="shared" si="11"/>
        <v/>
      </c>
      <c r="N70" s="775" t="str">
        <f t="shared" si="12"/>
        <v/>
      </c>
      <c r="O70" s="887"/>
      <c r="P70" s="887"/>
      <c r="Q70" s="887" t="s">
        <v>98</v>
      </c>
      <c r="R70" s="887"/>
      <c r="S70" s="887"/>
      <c r="T70" s="774"/>
      <c r="U70" s="774"/>
      <c r="V70" s="774" t="s">
        <v>2219</v>
      </c>
      <c r="W70" s="774"/>
      <c r="X70" s="774"/>
      <c r="Y70" s="930"/>
      <c r="Z70" s="777"/>
      <c r="AA70" s="780"/>
      <c r="AB70" s="777"/>
      <c r="AC70" s="777"/>
      <c r="AD70" s="777"/>
    </row>
    <row r="71" spans="1:30" ht="36" customHeight="1">
      <c r="A71" s="776"/>
      <c r="B71" s="829">
        <v>54</v>
      </c>
      <c r="C71" s="774"/>
      <c r="D71" s="897"/>
      <c r="E71" s="774" t="s">
        <v>2204</v>
      </c>
      <c r="F71" s="774"/>
      <c r="G71" s="774"/>
      <c r="H71" s="821"/>
      <c r="I71" s="935">
        <f t="shared" si="7"/>
        <v>0</v>
      </c>
      <c r="J71" s="935">
        <f t="shared" si="8"/>
        <v>0</v>
      </c>
      <c r="K71" s="935">
        <f t="shared" si="9"/>
        <v>0</v>
      </c>
      <c r="L71" s="775" t="str">
        <f t="shared" si="10"/>
        <v/>
      </c>
      <c r="M71" s="775" t="str">
        <f t="shared" si="11"/>
        <v/>
      </c>
      <c r="N71" s="775" t="str">
        <f t="shared" si="12"/>
        <v/>
      </c>
      <c r="O71" s="887"/>
      <c r="P71" s="887"/>
      <c r="Q71" s="887" t="s">
        <v>117</v>
      </c>
      <c r="R71" s="887"/>
      <c r="S71" s="887"/>
      <c r="T71" s="774"/>
      <c r="U71" s="774"/>
      <c r="V71" s="774" t="s">
        <v>2220</v>
      </c>
      <c r="W71" s="774"/>
      <c r="X71" s="774"/>
      <c r="Y71" s="930"/>
      <c r="Z71" s="777"/>
      <c r="AA71" s="780"/>
      <c r="AB71" s="777"/>
      <c r="AC71" s="777"/>
      <c r="AD71" s="777"/>
    </row>
    <row r="72" spans="1:30" ht="27" customHeight="1">
      <c r="A72" s="776"/>
      <c r="B72" s="829">
        <v>55</v>
      </c>
      <c r="C72" s="774"/>
      <c r="D72" s="897"/>
      <c r="E72" s="774" t="s">
        <v>2206</v>
      </c>
      <c r="F72" s="774"/>
      <c r="G72" s="774"/>
      <c r="H72" s="821"/>
      <c r="I72" s="935">
        <f t="shared" si="7"/>
        <v>0</v>
      </c>
      <c r="J72" s="935">
        <f t="shared" si="8"/>
        <v>0</v>
      </c>
      <c r="K72" s="935">
        <f t="shared" si="9"/>
        <v>0</v>
      </c>
      <c r="L72" s="775" t="str">
        <f t="shared" si="10"/>
        <v/>
      </c>
      <c r="M72" s="775" t="str">
        <f t="shared" si="11"/>
        <v/>
      </c>
      <c r="N72" s="775" t="str">
        <f t="shared" si="12"/>
        <v/>
      </c>
      <c r="O72" s="887"/>
      <c r="P72" s="887"/>
      <c r="Q72" s="887" t="s">
        <v>153</v>
      </c>
      <c r="R72" s="887"/>
      <c r="S72" s="887"/>
      <c r="T72" s="774"/>
      <c r="U72" s="774"/>
      <c r="V72" s="774" t="s">
        <v>2221</v>
      </c>
      <c r="W72" s="774"/>
      <c r="X72" s="774"/>
      <c r="Y72" s="930"/>
      <c r="Z72" s="777"/>
      <c r="AA72" s="780"/>
      <c r="AB72" s="777"/>
      <c r="AC72" s="777"/>
      <c r="AD72" s="777"/>
    </row>
    <row r="73" spans="1:30" ht="36" customHeight="1">
      <c r="A73" s="776"/>
      <c r="B73" s="829">
        <v>56</v>
      </c>
      <c r="C73" s="774"/>
      <c r="D73" s="897"/>
      <c r="E73" s="774" t="s">
        <v>2208</v>
      </c>
      <c r="F73" s="774"/>
      <c r="G73" s="774"/>
      <c r="H73" s="821"/>
      <c r="I73" s="935">
        <f t="shared" si="7"/>
        <v>0</v>
      </c>
      <c r="J73" s="935">
        <f t="shared" si="8"/>
        <v>0</v>
      </c>
      <c r="K73" s="935">
        <f t="shared" si="9"/>
        <v>0</v>
      </c>
      <c r="L73" s="775" t="str">
        <f t="shared" si="10"/>
        <v/>
      </c>
      <c r="M73" s="775" t="str">
        <f t="shared" si="11"/>
        <v/>
      </c>
      <c r="N73" s="775" t="str">
        <f t="shared" si="12"/>
        <v/>
      </c>
      <c r="O73" s="887"/>
      <c r="P73" s="887"/>
      <c r="Q73" s="887" t="s">
        <v>154</v>
      </c>
      <c r="R73" s="887"/>
      <c r="S73" s="887"/>
      <c r="T73" s="774"/>
      <c r="U73" s="774"/>
      <c r="V73" s="774" t="s">
        <v>2222</v>
      </c>
      <c r="W73" s="774"/>
      <c r="X73" s="774"/>
      <c r="Y73" s="930"/>
      <c r="Z73" s="777"/>
      <c r="AA73" s="780"/>
      <c r="AB73" s="777"/>
      <c r="AC73" s="777"/>
      <c r="AD73" s="777"/>
    </row>
    <row r="74" spans="1:30" ht="18" customHeight="1">
      <c r="A74" s="776"/>
      <c r="B74" s="829">
        <v>57</v>
      </c>
      <c r="C74" s="774"/>
      <c r="D74" s="897"/>
      <c r="E74" s="774" t="s">
        <v>2217</v>
      </c>
      <c r="F74" s="774"/>
      <c r="G74" s="774"/>
      <c r="H74" s="821"/>
      <c r="I74" s="935">
        <f t="shared" si="7"/>
        <v>0</v>
      </c>
      <c r="J74" s="935">
        <f t="shared" si="8"/>
        <v>0</v>
      </c>
      <c r="K74" s="935">
        <f t="shared" si="9"/>
        <v>0</v>
      </c>
      <c r="L74" s="775" t="str">
        <f t="shared" si="10"/>
        <v/>
      </c>
      <c r="M74" s="775" t="str">
        <f t="shared" si="11"/>
        <v/>
      </c>
      <c r="N74" s="775" t="str">
        <f t="shared" si="12"/>
        <v/>
      </c>
      <c r="O74" s="887"/>
      <c r="P74" s="887"/>
      <c r="Q74" s="887" t="s">
        <v>155</v>
      </c>
      <c r="R74" s="887"/>
      <c r="S74" s="887"/>
      <c r="T74" s="774"/>
      <c r="U74" s="774"/>
      <c r="V74" s="774" t="s">
        <v>2223</v>
      </c>
      <c r="W74" s="774"/>
      <c r="X74" s="774"/>
      <c r="Y74" s="930"/>
      <c r="Z74" s="777"/>
      <c r="AA74" s="780"/>
      <c r="AB74" s="777"/>
      <c r="AC74" s="777"/>
      <c r="AD74" s="777"/>
    </row>
    <row r="75" spans="1:30" ht="18" customHeight="1">
      <c r="A75" s="776"/>
      <c r="B75" s="829">
        <v>58</v>
      </c>
      <c r="C75" s="774"/>
      <c r="D75" s="897"/>
      <c r="E75" s="774"/>
      <c r="F75" s="774" t="s">
        <v>2202</v>
      </c>
      <c r="G75" s="774"/>
      <c r="H75" s="821"/>
      <c r="I75" s="935">
        <f t="shared" si="7"/>
        <v>0</v>
      </c>
      <c r="J75" s="935">
        <f t="shared" si="8"/>
        <v>0</v>
      </c>
      <c r="K75" s="935">
        <f t="shared" si="9"/>
        <v>0</v>
      </c>
      <c r="L75" s="775" t="str">
        <f t="shared" si="10"/>
        <v/>
      </c>
      <c r="M75" s="775" t="str">
        <f t="shared" si="11"/>
        <v/>
      </c>
      <c r="N75" s="775" t="str">
        <f t="shared" si="12"/>
        <v/>
      </c>
      <c r="O75" s="887"/>
      <c r="P75" s="887"/>
      <c r="Q75" s="887"/>
      <c r="R75" s="887" t="s">
        <v>98</v>
      </c>
      <c r="S75" s="887"/>
      <c r="T75" s="774"/>
      <c r="U75" s="774"/>
      <c r="V75" s="774"/>
      <c r="W75" s="774" t="s">
        <v>2224</v>
      </c>
      <c r="X75" s="774"/>
      <c r="Y75" s="930"/>
      <c r="Z75" s="777"/>
      <c r="AA75" s="780"/>
      <c r="AB75" s="777"/>
      <c r="AC75" s="777"/>
      <c r="AD75" s="777"/>
    </row>
    <row r="76" spans="1:30" ht="36" customHeight="1">
      <c r="A76" s="776"/>
      <c r="B76" s="829">
        <v>59</v>
      </c>
      <c r="C76" s="774"/>
      <c r="D76" s="897"/>
      <c r="E76" s="774"/>
      <c r="F76" s="774" t="s">
        <v>2204</v>
      </c>
      <c r="G76" s="774"/>
      <c r="H76" s="821"/>
      <c r="I76" s="935">
        <f t="shared" si="7"/>
        <v>0</v>
      </c>
      <c r="J76" s="935">
        <f t="shared" si="8"/>
        <v>0</v>
      </c>
      <c r="K76" s="935">
        <f t="shared" si="9"/>
        <v>0</v>
      </c>
      <c r="L76" s="775" t="str">
        <f t="shared" si="10"/>
        <v/>
      </c>
      <c r="M76" s="775" t="str">
        <f t="shared" si="11"/>
        <v/>
      </c>
      <c r="N76" s="775" t="str">
        <f t="shared" si="12"/>
        <v/>
      </c>
      <c r="O76" s="887"/>
      <c r="P76" s="887"/>
      <c r="Q76" s="887"/>
      <c r="R76" s="887" t="s">
        <v>117</v>
      </c>
      <c r="S76" s="887"/>
      <c r="T76" s="774"/>
      <c r="U76" s="774"/>
      <c r="V76" s="774"/>
      <c r="W76" s="774" t="s">
        <v>2225</v>
      </c>
      <c r="X76" s="774"/>
      <c r="Y76" s="930"/>
      <c r="Z76" s="777"/>
      <c r="AA76" s="780"/>
      <c r="AB76" s="777"/>
      <c r="AC76" s="777"/>
      <c r="AD76" s="777"/>
    </row>
    <row r="77" spans="1:30" ht="18" customHeight="1">
      <c r="A77" s="776"/>
      <c r="B77" s="829">
        <v>60</v>
      </c>
      <c r="C77" s="774"/>
      <c r="D77" s="897"/>
      <c r="E77" s="774"/>
      <c r="F77" s="774" t="s">
        <v>2206</v>
      </c>
      <c r="G77" s="774"/>
      <c r="H77" s="821"/>
      <c r="I77" s="935">
        <f t="shared" si="7"/>
        <v>0</v>
      </c>
      <c r="J77" s="935">
        <f t="shared" si="8"/>
        <v>0</v>
      </c>
      <c r="K77" s="935">
        <f t="shared" si="9"/>
        <v>0</v>
      </c>
      <c r="L77" s="775" t="str">
        <f t="shared" si="10"/>
        <v/>
      </c>
      <c r="M77" s="775" t="str">
        <f t="shared" si="11"/>
        <v/>
      </c>
      <c r="N77" s="775" t="str">
        <f t="shared" si="12"/>
        <v/>
      </c>
      <c r="O77" s="887"/>
      <c r="P77" s="887"/>
      <c r="Q77" s="887"/>
      <c r="R77" s="887" t="s">
        <v>153</v>
      </c>
      <c r="S77" s="887"/>
      <c r="T77" s="774"/>
      <c r="U77" s="774"/>
      <c r="V77" s="774"/>
      <c r="W77" s="774" t="s">
        <v>2226</v>
      </c>
      <c r="X77" s="774"/>
      <c r="Y77" s="930"/>
      <c r="Z77" s="777"/>
      <c r="AA77" s="780"/>
      <c r="AB77" s="777"/>
      <c r="AC77" s="777"/>
      <c r="AD77" s="777"/>
    </row>
    <row r="78" spans="1:30" ht="72" customHeight="1">
      <c r="A78" s="776"/>
      <c r="B78" s="829">
        <v>61</v>
      </c>
      <c r="C78" s="774" t="s">
        <v>2202</v>
      </c>
      <c r="D78" s="897"/>
      <c r="E78" s="774"/>
      <c r="F78" s="774"/>
      <c r="G78" s="774"/>
      <c r="H78" s="821"/>
      <c r="I78" s="935" t="str">
        <f t="shared" si="7"/>
        <v>7</v>
      </c>
      <c r="J78" s="935" t="str">
        <f t="shared" si="8"/>
        <v>Установленная тепловая мощность объектов основных фондов, используемых для теплоснабжения, в том числе по каждому источнику тепловой энергии</v>
      </c>
      <c r="K78" s="935" t="str">
        <f t="shared" si="9"/>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L78" s="775" t="str">
        <f t="shared" si="10"/>
        <v>7</v>
      </c>
      <c r="M78" s="775" t="str">
        <f t="shared" si="11"/>
        <v>Установленная тепловая мощность объектов основных фондов, используемых для теплоснабжения, в том числе по каждому источнику тепловой энергии</v>
      </c>
      <c r="N78" s="775" t="str">
        <f t="shared" si="12"/>
        <v>Указывается суммарная установленная тепловая мощность объектов основных фондов, используемых для осуществления теплоснабжения._x000D_
Регулируемыми организациями указывается информация по объектам, используемым для осуществления регулируемых видов деятельности.</v>
      </c>
      <c r="O78" s="887" t="s">
        <v>98</v>
      </c>
      <c r="P78" s="887"/>
      <c r="Q78" s="887"/>
      <c r="R78" s="887"/>
      <c r="S78" s="887"/>
      <c r="T78" s="774" t="s">
        <v>680</v>
      </c>
      <c r="U78" s="774"/>
      <c r="V78" s="774"/>
      <c r="W78" s="774"/>
      <c r="X78" s="774"/>
      <c r="Y78" s="930"/>
      <c r="Z78" s="777" t="s">
        <v>2227</v>
      </c>
      <c r="AA78" s="780"/>
      <c r="AB78" s="777"/>
      <c r="AC78" s="777"/>
      <c r="AD78" s="777"/>
    </row>
    <row r="79" spans="1:30" ht="36" customHeight="1">
      <c r="A79" s="776"/>
      <c r="B79" s="829">
        <v>62</v>
      </c>
      <c r="C79" s="774" t="s">
        <v>2204</v>
      </c>
      <c r="D79" s="897"/>
      <c r="E79" s="774"/>
      <c r="F79" s="774"/>
      <c r="G79" s="774"/>
      <c r="H79" s="821"/>
      <c r="I79" s="935" t="str">
        <f t="shared" si="7"/>
        <v>8</v>
      </c>
      <c r="J79" s="935" t="str">
        <f t="shared" si="8"/>
        <v>Тепловая нагрузка по договорам, заключенным в рамках осуществления регулируемых видов деятельности</v>
      </c>
      <c r="K79" s="935" t="str">
        <f t="shared" si="9"/>
        <v>Регулируемыми организациями указывается информация по договорам, заключенным в рамках осуществления регулируемых видов деятельности</v>
      </c>
      <c r="L79" s="775" t="str">
        <f t="shared" si="10"/>
        <v>8</v>
      </c>
      <c r="M79" s="775" t="str">
        <f t="shared" si="11"/>
        <v>Тепловая нагрузка по договорам, заключенным в рамках осуществления регулируемых видов деятельности</v>
      </c>
      <c r="N79" s="775" t="str">
        <f t="shared" si="12"/>
        <v>Регулируемыми организациями указывается информация по договорам, заключенным в рамках осуществления регулируемых видов деятельности</v>
      </c>
      <c r="O79" s="887" t="s">
        <v>117</v>
      </c>
      <c r="P79" s="887"/>
      <c r="Q79" s="887"/>
      <c r="R79" s="887"/>
      <c r="S79" s="887"/>
      <c r="T79" s="774" t="s">
        <v>2228</v>
      </c>
      <c r="U79" s="774"/>
      <c r="V79" s="774"/>
      <c r="W79" s="774"/>
      <c r="X79" s="774"/>
      <c r="Y79" s="930"/>
      <c r="Z79" s="777" t="s">
        <v>2229</v>
      </c>
      <c r="AA79" s="780"/>
      <c r="AB79" s="777"/>
      <c r="AC79" s="777"/>
      <c r="AD79" s="777"/>
    </row>
    <row r="80" spans="1:30" ht="45" customHeight="1">
      <c r="A80" s="776"/>
      <c r="B80" s="829">
        <v>63</v>
      </c>
      <c r="C80" s="774" t="s">
        <v>2206</v>
      </c>
      <c r="D80" s="897"/>
      <c r="E80" s="774"/>
      <c r="F80" s="774"/>
      <c r="G80" s="774"/>
      <c r="H80" s="821"/>
      <c r="I80" s="935" t="str">
        <f t="shared" si="7"/>
        <v>9</v>
      </c>
      <c r="J80" s="935" t="str">
        <f t="shared" si="8"/>
        <v>Объем вырабатываемой регулируемой организацией тепловой энергии в рамках осуществления регулируемых видов деятельности</v>
      </c>
      <c r="K80" s="935" t="str">
        <f t="shared" si="9"/>
        <v>Регулируемыми организациями указывается информация тепловой энергии, выработанной в рамках осуществления регулируемых видов деятельности.</v>
      </c>
      <c r="L80" s="775" t="str">
        <f t="shared" si="10"/>
        <v>9</v>
      </c>
      <c r="M80" s="775" t="str">
        <f t="shared" si="11"/>
        <v>Объем вырабатываемой регулируемой организацией тепловой энергии в рамках осуществления регулируемых видов деятельности</v>
      </c>
      <c r="N80" s="775" t="str">
        <f t="shared" si="12"/>
        <v>Регулируемыми организациями указывается информация тепловой энергии, выработанной в рамках осуществления регулируемых видов деятельности.</v>
      </c>
      <c r="O80" s="887" t="s">
        <v>153</v>
      </c>
      <c r="P80" s="887"/>
      <c r="Q80" s="887"/>
      <c r="R80" s="887"/>
      <c r="S80" s="887"/>
      <c r="T80" s="774" t="s">
        <v>2230</v>
      </c>
      <c r="U80" s="774"/>
      <c r="V80" s="774"/>
      <c r="W80" s="774"/>
      <c r="X80" s="774"/>
      <c r="Y80" s="930"/>
      <c r="Z80" s="777" t="s">
        <v>2231</v>
      </c>
      <c r="AA80" s="780"/>
      <c r="AB80" s="777"/>
      <c r="AC80" s="777"/>
      <c r="AD80" s="777"/>
    </row>
    <row r="81" spans="1:30" ht="36" customHeight="1">
      <c r="A81" s="776"/>
      <c r="B81" s="829">
        <v>64</v>
      </c>
      <c r="C81" s="774" t="s">
        <v>2208</v>
      </c>
      <c r="D81" s="897"/>
      <c r="E81" s="774"/>
      <c r="F81" s="774"/>
      <c r="G81" s="774"/>
      <c r="H81" s="821"/>
      <c r="I81" s="935" t="str">
        <f t="shared" si="7"/>
        <v>9.1</v>
      </c>
      <c r="J81" s="935" t="str">
        <f t="shared" si="8"/>
        <v>Объем приобретаемой регулируемой организацией тепловой энергии в рамках осуществления регулируемых видов деятельности</v>
      </c>
      <c r="K81" s="935" t="str">
        <f t="shared" si="9"/>
        <v>Информация указывается только едиными теплоснабжающими организациями.</v>
      </c>
      <c r="L81" s="775" t="str">
        <f t="shared" si="10"/>
        <v>9.1</v>
      </c>
      <c r="M81" s="775" t="str">
        <f t="shared" si="11"/>
        <v>Объем приобретаемой регулируемой организацией тепловой энергии в рамках осуществления регулируемых видов деятельности</v>
      </c>
      <c r="N81" s="775" t="str">
        <f t="shared" si="12"/>
        <v>Информация указывается только едиными теплоснабжающими организациями.</v>
      </c>
      <c r="O81" s="887" t="s">
        <v>2114</v>
      </c>
      <c r="P81" s="887"/>
      <c r="Q81" s="887"/>
      <c r="R81" s="887"/>
      <c r="S81" s="887"/>
      <c r="T81" s="774" t="s">
        <v>2232</v>
      </c>
      <c r="U81" s="774"/>
      <c r="V81" s="774"/>
      <c r="W81" s="774"/>
      <c r="X81" s="774"/>
      <c r="Y81" s="930"/>
      <c r="Z81" s="777" t="s">
        <v>2233</v>
      </c>
      <c r="AA81" s="780"/>
      <c r="AB81" s="777"/>
      <c r="AC81" s="777"/>
      <c r="AD81" s="777"/>
    </row>
    <row r="82" spans="1:30" ht="90" customHeight="1">
      <c r="A82" s="776"/>
      <c r="B82" s="829">
        <v>65</v>
      </c>
      <c r="C82" s="774" t="s">
        <v>2217</v>
      </c>
      <c r="D82" s="897"/>
      <c r="E82" s="774"/>
      <c r="F82" s="774"/>
      <c r="G82" s="774"/>
      <c r="H82" s="821"/>
      <c r="I82" s="935" t="str">
        <f t="shared" ref="I82:I101" si="13">INDEX(TEMPLATE_NUMBER_POINT_FHD,B82,MATCH(TEMPLATE_SPHERE,TEMPLATE_SPHERE_LIST_FOR_NOTE,0))</f>
        <v>10</v>
      </c>
      <c r="J82" s="935" t="str">
        <f t="shared" ref="J82:J101" si="14">INDEX(TEMPLATE_DATA_POINT_FHD,B82,MATCH(TEMPLATE_SPHERE,TEMPLATE_SPHERE_LIST_FOR_NOTE,0))</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K82" s="935" t="str">
        <f t="shared" ref="K82:K101" si="15">INDEX(TEMPLATE_NOTE_POINT_FHD,B82,MATCH(TEMPLATE_SPHERE,TEMPLATE_SPHERE_LIST_FOR_NOTE,0))</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L82" s="775" t="str">
        <f t="shared" ref="L82:L101" si="16">IF(I82=0,"",I82)</f>
        <v>10</v>
      </c>
      <c r="M82" s="775" t="str">
        <f t="shared" ref="M82:M101" si="17">IF(J82=0,"",J82)</f>
        <v>Объем тепловой энергии, отпускаемой потребителям по договорам, заключенным в рамках осуществления регулируемых видов деятельности, определенном в том числе</v>
      </c>
      <c r="N82" s="775" t="str">
        <f t="shared" ref="N82:N101" si="18">IF(K82=0,"",K82)</f>
        <v>Указывается общий объем тепловой энергии, отпускаемой потребителям._x000D_
Регулируемыми организациями указывается информация, включая отдельно сведения об определенном по приборам учета объеме тепловой энергии, отпускаемой потребителям по договорам, максимальный объем потребления тепловой энергии объектов которых составляет менее чем 0,2 Гкал/ч</v>
      </c>
      <c r="O82" s="887" t="s">
        <v>154</v>
      </c>
      <c r="P82" s="887"/>
      <c r="Q82" s="887"/>
      <c r="R82" s="887"/>
      <c r="S82" s="887"/>
      <c r="T82" s="774" t="s">
        <v>2234</v>
      </c>
      <c r="U82" s="774"/>
      <c r="V82" s="774"/>
      <c r="W82" s="774"/>
      <c r="X82" s="774"/>
      <c r="Y82" s="930"/>
      <c r="Z82" s="777" t="s">
        <v>2235</v>
      </c>
      <c r="AA82" s="780"/>
      <c r="AB82" s="777"/>
      <c r="AC82" s="777"/>
      <c r="AD82" s="777"/>
    </row>
    <row r="83" spans="1:30" ht="9" customHeight="1">
      <c r="A83" s="776"/>
      <c r="B83" s="829">
        <v>66</v>
      </c>
      <c r="C83" s="774"/>
      <c r="D83" s="897"/>
      <c r="E83" s="774"/>
      <c r="F83" s="774"/>
      <c r="G83" s="774"/>
      <c r="H83" s="821"/>
      <c r="I83" s="935" t="str">
        <f t="shared" si="13"/>
        <v>10.1</v>
      </c>
      <c r="J83" s="935" t="str">
        <f t="shared" si="14"/>
        <v xml:space="preserve">По приборам учёта </v>
      </c>
      <c r="K83" s="935">
        <f t="shared" si="15"/>
        <v>0</v>
      </c>
      <c r="L83" s="775" t="str">
        <f t="shared" si="16"/>
        <v>10.1</v>
      </c>
      <c r="M83" s="775" t="str">
        <f t="shared" si="17"/>
        <v xml:space="preserve">По приборам учёта </v>
      </c>
      <c r="N83" s="775" t="str">
        <f t="shared" si="18"/>
        <v/>
      </c>
      <c r="O83" s="887" t="s">
        <v>2123</v>
      </c>
      <c r="P83" s="887"/>
      <c r="Q83" s="887"/>
      <c r="R83" s="887"/>
      <c r="S83" s="887"/>
      <c r="T83" s="774" t="s">
        <v>2236</v>
      </c>
      <c r="U83" s="774"/>
      <c r="V83" s="774"/>
      <c r="W83" s="774"/>
      <c r="X83" s="774"/>
      <c r="Y83" s="930"/>
      <c r="Z83" s="777"/>
      <c r="AA83" s="780"/>
      <c r="AB83" s="777"/>
      <c r="AC83" s="777"/>
      <c r="AD83" s="777"/>
    </row>
    <row r="84" spans="1:30" ht="54" customHeight="1">
      <c r="A84" s="776"/>
      <c r="B84" s="829">
        <v>67</v>
      </c>
      <c r="C84" s="774"/>
      <c r="D84" s="897"/>
      <c r="E84" s="774"/>
      <c r="F84" s="774"/>
      <c r="G84" s="774"/>
      <c r="H84" s="821"/>
      <c r="I84" s="935" t="str">
        <f t="shared" si="13"/>
        <v>10.1.1</v>
      </c>
      <c r="J84" s="935" t="str">
        <f t="shared" si="14"/>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K84" s="935">
        <f t="shared" si="15"/>
        <v>0</v>
      </c>
      <c r="L84" s="775" t="str">
        <f t="shared" si="16"/>
        <v>10.1.1</v>
      </c>
      <c r="M84" s="775" t="str">
        <f t="shared" si="17"/>
        <v>Определенный по приборам учета объем тепловой энергии, отпускаемой по договорам потребителям, максимальный объем потребления тепловой энергии объектов которых составляет менее чем 0,2 Гкал</v>
      </c>
      <c r="N84" s="775" t="str">
        <f t="shared" si="18"/>
        <v/>
      </c>
      <c r="O84" s="887" t="s">
        <v>2237</v>
      </c>
      <c r="P84" s="887"/>
      <c r="Q84" s="887"/>
      <c r="R84" s="887"/>
      <c r="S84" s="887"/>
      <c r="T84" s="774" t="s">
        <v>2238</v>
      </c>
      <c r="U84" s="774"/>
      <c r="V84" s="774"/>
      <c r="W84" s="774"/>
      <c r="X84" s="774"/>
      <c r="Y84" s="930"/>
      <c r="Z84" s="777"/>
      <c r="AA84" s="780"/>
      <c r="AB84" s="777"/>
      <c r="AC84" s="777"/>
      <c r="AD84" s="777"/>
    </row>
    <row r="85" spans="1:30" ht="9" customHeight="1">
      <c r="A85" s="776"/>
      <c r="B85" s="829">
        <v>68</v>
      </c>
      <c r="C85" s="774"/>
      <c r="D85" s="897"/>
      <c r="E85" s="774"/>
      <c r="F85" s="774"/>
      <c r="G85" s="774"/>
      <c r="H85" s="821"/>
      <c r="I85" s="935" t="str">
        <f t="shared" si="13"/>
        <v>10.2</v>
      </c>
      <c r="J85" s="935" t="str">
        <f t="shared" si="14"/>
        <v>Расчётным путём</v>
      </c>
      <c r="K85" s="935">
        <f t="shared" si="15"/>
        <v>0</v>
      </c>
      <c r="L85" s="775" t="str">
        <f t="shared" si="16"/>
        <v>10.2</v>
      </c>
      <c r="M85" s="775" t="str">
        <f t="shared" si="17"/>
        <v>Расчётным путём</v>
      </c>
      <c r="N85" s="775" t="str">
        <f t="shared" si="18"/>
        <v/>
      </c>
      <c r="O85" s="887" t="s">
        <v>2127</v>
      </c>
      <c r="P85" s="887"/>
      <c r="Q85" s="887"/>
      <c r="R85" s="887"/>
      <c r="S85" s="887"/>
      <c r="T85" s="774" t="s">
        <v>2239</v>
      </c>
      <c r="U85" s="774"/>
      <c r="V85" s="774"/>
      <c r="W85" s="774"/>
      <c r="X85" s="774"/>
      <c r="Y85" s="930"/>
      <c r="Z85" s="777"/>
      <c r="AA85" s="780"/>
      <c r="AB85" s="777"/>
      <c r="AC85" s="777"/>
      <c r="AD85" s="777"/>
    </row>
    <row r="86" spans="1:30" ht="27" customHeight="1">
      <c r="A86" s="776"/>
      <c r="B86" s="829">
        <v>69</v>
      </c>
      <c r="C86" s="774"/>
      <c r="D86" s="897"/>
      <c r="E86" s="774"/>
      <c r="F86" s="774"/>
      <c r="G86" s="774"/>
      <c r="H86" s="821"/>
      <c r="I86" s="935" t="str">
        <f t="shared" si="13"/>
        <v>10.3</v>
      </c>
      <c r="J86" s="935" t="str">
        <f t="shared" si="14"/>
        <v>По нормативам потребления коммунальных услуг и нормативам потребления коммунальных ресурсов</v>
      </c>
      <c r="K86" s="935">
        <f t="shared" si="15"/>
        <v>0</v>
      </c>
      <c r="L86" s="775" t="str">
        <f t="shared" si="16"/>
        <v>10.3</v>
      </c>
      <c r="M86" s="775" t="str">
        <f t="shared" si="17"/>
        <v>По нормативам потребления коммунальных услуг и нормативам потребления коммунальных ресурсов</v>
      </c>
      <c r="N86" s="775" t="str">
        <f t="shared" si="18"/>
        <v/>
      </c>
      <c r="O86" s="887" t="s">
        <v>2240</v>
      </c>
      <c r="P86" s="887"/>
      <c r="Q86" s="887"/>
      <c r="R86" s="887"/>
      <c r="S86" s="887"/>
      <c r="T86" s="774" t="s">
        <v>2241</v>
      </c>
      <c r="U86" s="774"/>
      <c r="V86" s="774"/>
      <c r="W86" s="774"/>
      <c r="X86" s="774"/>
      <c r="Y86" s="930"/>
      <c r="Z86" s="777"/>
      <c r="AA86" s="780"/>
      <c r="AB86" s="777"/>
      <c r="AC86" s="777"/>
      <c r="AD86" s="777"/>
    </row>
    <row r="87" spans="1:30" ht="36" customHeight="1">
      <c r="A87" s="776"/>
      <c r="B87" s="829">
        <v>70</v>
      </c>
      <c r="C87" s="774" t="s">
        <v>2242</v>
      </c>
      <c r="D87" s="897"/>
      <c r="E87" s="774"/>
      <c r="F87" s="774"/>
      <c r="G87" s="774"/>
      <c r="H87" s="821"/>
      <c r="I87" s="935" t="str">
        <f t="shared" si="13"/>
        <v>11</v>
      </c>
      <c r="J87" s="935" t="str">
        <f t="shared" si="14"/>
        <v>Нормативы технологических потерь при передаче тепловой энергии, теплоносителя по тепловым сетям, утвержденные уполномоченным органом</v>
      </c>
      <c r="K87" s="935">
        <f t="shared" si="15"/>
        <v>0</v>
      </c>
      <c r="L87" s="775" t="str">
        <f t="shared" si="16"/>
        <v>11</v>
      </c>
      <c r="M87" s="775" t="str">
        <f t="shared" si="17"/>
        <v>Нормативы технологических потерь при передаче тепловой энергии, теплоносителя по тепловым сетям, утвержденные уполномоченным органом</v>
      </c>
      <c r="N87" s="775" t="str">
        <f t="shared" si="18"/>
        <v/>
      </c>
      <c r="O87" s="887" t="s">
        <v>155</v>
      </c>
      <c r="P87" s="887"/>
      <c r="Q87" s="887"/>
      <c r="R87" s="887"/>
      <c r="S87" s="887"/>
      <c r="T87" s="774" t="s">
        <v>2243</v>
      </c>
      <c r="U87" s="774"/>
      <c r="V87" s="774"/>
      <c r="W87" s="774"/>
      <c r="X87" s="774"/>
      <c r="Y87" s="930"/>
      <c r="Z87" s="777"/>
      <c r="AA87" s="780"/>
      <c r="AB87" s="777"/>
      <c r="AC87" s="777"/>
      <c r="AD87" s="777"/>
    </row>
    <row r="88" spans="1:30" ht="18" customHeight="1">
      <c r="A88" s="776"/>
      <c r="B88" s="829">
        <v>71</v>
      </c>
      <c r="C88" s="774" t="s">
        <v>2244</v>
      </c>
      <c r="D88" s="897"/>
      <c r="E88" s="774"/>
      <c r="F88" s="774"/>
      <c r="G88" s="774"/>
      <c r="H88" s="821"/>
      <c r="I88" s="935" t="str">
        <f t="shared" si="13"/>
        <v>12</v>
      </c>
      <c r="J88" s="935" t="str">
        <f t="shared" si="14"/>
        <v>Фактический объем потерь при передаче тепловой энергии</v>
      </c>
      <c r="K88" s="935">
        <f t="shared" si="15"/>
        <v>0</v>
      </c>
      <c r="L88" s="775" t="str">
        <f t="shared" si="16"/>
        <v>12</v>
      </c>
      <c r="M88" s="775" t="str">
        <f t="shared" si="17"/>
        <v>Фактический объем потерь при передаче тепловой энергии</v>
      </c>
      <c r="N88" s="775" t="str">
        <f t="shared" si="18"/>
        <v/>
      </c>
      <c r="O88" s="887" t="s">
        <v>156</v>
      </c>
      <c r="P88" s="887"/>
      <c r="Q88" s="887"/>
      <c r="R88" s="887"/>
      <c r="S88" s="887"/>
      <c r="T88" s="774" t="s">
        <v>712</v>
      </c>
      <c r="U88" s="774"/>
      <c r="V88" s="774"/>
      <c r="W88" s="774"/>
      <c r="X88" s="774"/>
      <c r="Y88" s="930"/>
      <c r="Z88" s="777"/>
      <c r="AA88" s="780"/>
      <c r="AB88" s="777"/>
      <c r="AC88" s="777"/>
      <c r="AD88" s="777"/>
    </row>
    <row r="89" spans="1:30" ht="18" customHeight="1">
      <c r="A89" s="776"/>
      <c r="B89" s="829">
        <v>72</v>
      </c>
      <c r="C89" s="774" t="s">
        <v>2245</v>
      </c>
      <c r="D89" s="897" t="s">
        <v>2242</v>
      </c>
      <c r="E89" s="774" t="s">
        <v>2242</v>
      </c>
      <c r="F89" s="774" t="s">
        <v>2208</v>
      </c>
      <c r="G89" s="774"/>
      <c r="H89" s="821"/>
      <c r="I89" s="935" t="str">
        <f t="shared" si="13"/>
        <v>13</v>
      </c>
      <c r="J89" s="935" t="str">
        <f t="shared" si="14"/>
        <v>Среднесписочная численность основного производственного персонала</v>
      </c>
      <c r="K89" s="935">
        <f t="shared" si="15"/>
        <v>0</v>
      </c>
      <c r="L89" s="775" t="str">
        <f t="shared" si="16"/>
        <v>13</v>
      </c>
      <c r="M89" s="775" t="str">
        <f t="shared" si="17"/>
        <v>Среднесписочная численность основного производственного персонала</v>
      </c>
      <c r="N89" s="775" t="str">
        <f t="shared" si="18"/>
        <v/>
      </c>
      <c r="O89" s="887" t="s">
        <v>157</v>
      </c>
      <c r="P89" s="887" t="s">
        <v>156</v>
      </c>
      <c r="Q89" s="887" t="s">
        <v>156</v>
      </c>
      <c r="R89" s="887" t="s">
        <v>154</v>
      </c>
      <c r="S89" s="887"/>
      <c r="T89" s="774" t="s">
        <v>720</v>
      </c>
      <c r="U89" s="774" t="s">
        <v>720</v>
      </c>
      <c r="V89" s="774" t="s">
        <v>720</v>
      </c>
      <c r="W89" s="774" t="s">
        <v>720</v>
      </c>
      <c r="X89" s="774"/>
      <c r="Y89" s="930"/>
      <c r="Z89" s="777"/>
      <c r="AA89" s="780"/>
      <c r="AB89" s="777"/>
      <c r="AC89" s="777"/>
      <c r="AD89" s="777"/>
    </row>
    <row r="90" spans="1:30" ht="27" customHeight="1">
      <c r="A90" s="776"/>
      <c r="B90" s="829">
        <v>73</v>
      </c>
      <c r="C90" s="774" t="s">
        <v>2246</v>
      </c>
      <c r="D90" s="897"/>
      <c r="E90" s="774"/>
      <c r="F90" s="774"/>
      <c r="G90" s="774"/>
      <c r="H90" s="821"/>
      <c r="I90" s="935" t="str">
        <f t="shared" si="13"/>
        <v>14</v>
      </c>
      <c r="J90" s="935" t="str">
        <f t="shared" si="14"/>
        <v>Среднесписочная численность административно-управленческого персонала</v>
      </c>
      <c r="K90" s="935">
        <f t="shared" si="15"/>
        <v>0</v>
      </c>
      <c r="L90" s="775" t="str">
        <f t="shared" si="16"/>
        <v>14</v>
      </c>
      <c r="M90" s="775" t="str">
        <f t="shared" si="17"/>
        <v>Среднесписочная численность административно-управленческого персонала</v>
      </c>
      <c r="N90" s="775" t="str">
        <f t="shared" si="18"/>
        <v/>
      </c>
      <c r="O90" s="887" t="s">
        <v>158</v>
      </c>
      <c r="P90" s="887"/>
      <c r="Q90" s="887"/>
      <c r="R90" s="887"/>
      <c r="S90" s="887"/>
      <c r="T90" s="774" t="s">
        <v>722</v>
      </c>
      <c r="U90" s="774"/>
      <c r="V90" s="774"/>
      <c r="W90" s="774"/>
      <c r="X90" s="774"/>
      <c r="Y90" s="930"/>
      <c r="Z90" s="777"/>
      <c r="AA90" s="780"/>
      <c r="AB90" s="777"/>
      <c r="AC90" s="777"/>
      <c r="AD90" s="777"/>
    </row>
    <row r="91" spans="1:30" ht="18" customHeight="1">
      <c r="A91" s="776"/>
      <c r="B91" s="829">
        <v>74</v>
      </c>
      <c r="C91" s="774"/>
      <c r="D91" s="897" t="s">
        <v>2244</v>
      </c>
      <c r="E91" s="774" t="s">
        <v>2244</v>
      </c>
      <c r="F91" s="774"/>
      <c r="G91" s="774"/>
      <c r="H91" s="821"/>
      <c r="I91" s="935">
        <f t="shared" si="13"/>
        <v>0</v>
      </c>
      <c r="J91" s="935">
        <f t="shared" si="14"/>
        <v>0</v>
      </c>
      <c r="K91" s="935">
        <f t="shared" si="15"/>
        <v>0</v>
      </c>
      <c r="L91" s="775" t="str">
        <f t="shared" si="16"/>
        <v/>
      </c>
      <c r="M91" s="775" t="str">
        <f t="shared" si="17"/>
        <v/>
      </c>
      <c r="N91" s="775" t="str">
        <f t="shared" si="18"/>
        <v/>
      </c>
      <c r="O91" s="887"/>
      <c r="P91" s="887" t="s">
        <v>157</v>
      </c>
      <c r="Q91" s="887" t="s">
        <v>157</v>
      </c>
      <c r="R91" s="887"/>
      <c r="S91" s="887"/>
      <c r="T91" s="774"/>
      <c r="U91" s="774" t="s">
        <v>2247</v>
      </c>
      <c r="V91" s="774" t="s">
        <v>2247</v>
      </c>
      <c r="W91" s="774"/>
      <c r="X91" s="774"/>
      <c r="Y91" s="930"/>
      <c r="Z91" s="777"/>
      <c r="AA91" s="780"/>
      <c r="AB91" s="777"/>
      <c r="AC91" s="777"/>
      <c r="AD91" s="777"/>
    </row>
    <row r="92" spans="1:30" ht="27" customHeight="1">
      <c r="A92" s="776"/>
      <c r="B92" s="829">
        <v>75</v>
      </c>
      <c r="C92" s="774"/>
      <c r="D92" s="897" t="s">
        <v>2245</v>
      </c>
      <c r="E92" s="774"/>
      <c r="F92" s="774"/>
      <c r="G92" s="774"/>
      <c r="H92" s="821"/>
      <c r="I92" s="935">
        <f t="shared" si="13"/>
        <v>0</v>
      </c>
      <c r="J92" s="935">
        <f t="shared" si="14"/>
        <v>0</v>
      </c>
      <c r="K92" s="935">
        <f t="shared" si="15"/>
        <v>0</v>
      </c>
      <c r="L92" s="775" t="str">
        <f t="shared" si="16"/>
        <v/>
      </c>
      <c r="M92" s="775" t="str">
        <f t="shared" si="17"/>
        <v/>
      </c>
      <c r="N92" s="775" t="str">
        <f t="shared" si="18"/>
        <v/>
      </c>
      <c r="O92" s="887"/>
      <c r="P92" s="887" t="s">
        <v>158</v>
      </c>
      <c r="Q92" s="887"/>
      <c r="R92" s="887"/>
      <c r="S92" s="887"/>
      <c r="T92" s="774"/>
      <c r="U92" s="774" t="s">
        <v>2248</v>
      </c>
      <c r="V92" s="774"/>
      <c r="W92" s="774"/>
      <c r="X92" s="774"/>
      <c r="Y92" s="930"/>
      <c r="Z92" s="777"/>
      <c r="AA92" s="780" t="s">
        <v>2249</v>
      </c>
      <c r="AB92" s="777"/>
      <c r="AC92" s="777"/>
      <c r="AD92" s="777"/>
    </row>
    <row r="93" spans="1:30" ht="27" customHeight="1">
      <c r="A93" s="776"/>
      <c r="B93" s="829">
        <v>76</v>
      </c>
      <c r="C93" s="774"/>
      <c r="D93" s="897"/>
      <c r="E93" s="774"/>
      <c r="F93" s="774"/>
      <c r="G93" s="774"/>
      <c r="H93" s="821"/>
      <c r="I93" s="935">
        <f t="shared" si="13"/>
        <v>0</v>
      </c>
      <c r="J93" s="935">
        <f t="shared" si="14"/>
        <v>0</v>
      </c>
      <c r="K93" s="935">
        <f t="shared" si="15"/>
        <v>0</v>
      </c>
      <c r="L93" s="775" t="str">
        <f t="shared" si="16"/>
        <v/>
      </c>
      <c r="M93" s="775" t="str">
        <f t="shared" si="17"/>
        <v/>
      </c>
      <c r="N93" s="775" t="str">
        <f t="shared" si="18"/>
        <v/>
      </c>
      <c r="O93" s="887"/>
      <c r="P93" s="887" t="s">
        <v>2155</v>
      </c>
      <c r="Q93" s="887"/>
      <c r="R93" s="887"/>
      <c r="S93" s="887"/>
      <c r="T93" s="774"/>
      <c r="U93" s="774" t="s">
        <v>2250</v>
      </c>
      <c r="V93" s="774"/>
      <c r="W93" s="774"/>
      <c r="X93" s="774"/>
      <c r="Y93" s="930"/>
      <c r="Z93" s="777"/>
      <c r="AA93" s="780" t="s">
        <v>2251</v>
      </c>
      <c r="AB93" s="777"/>
      <c r="AC93" s="777"/>
      <c r="AD93" s="777"/>
    </row>
    <row r="94" spans="1:30" ht="45" customHeight="1">
      <c r="A94" s="776"/>
      <c r="B94" s="829">
        <v>77</v>
      </c>
      <c r="C94" s="774"/>
      <c r="D94" s="897" t="s">
        <v>2246</v>
      </c>
      <c r="E94" s="774"/>
      <c r="F94" s="774"/>
      <c r="G94" s="774"/>
      <c r="H94" s="821"/>
      <c r="I94" s="935">
        <f t="shared" si="13"/>
        <v>0</v>
      </c>
      <c r="J94" s="935">
        <f t="shared" si="14"/>
        <v>0</v>
      </c>
      <c r="K94" s="935">
        <f t="shared" si="15"/>
        <v>0</v>
      </c>
      <c r="L94" s="775" t="str">
        <f t="shared" si="16"/>
        <v/>
      </c>
      <c r="M94" s="775" t="str">
        <f t="shared" si="17"/>
        <v/>
      </c>
      <c r="N94" s="775" t="str">
        <f t="shared" si="18"/>
        <v/>
      </c>
      <c r="O94" s="887"/>
      <c r="P94" s="887" t="s">
        <v>1507</v>
      </c>
      <c r="Q94" s="887"/>
      <c r="R94" s="887"/>
      <c r="S94" s="887"/>
      <c r="T94" s="774"/>
      <c r="U94" s="774" t="s">
        <v>2252</v>
      </c>
      <c r="V94" s="774"/>
      <c r="W94" s="774"/>
      <c r="X94" s="774"/>
      <c r="Y94" s="930"/>
      <c r="Z94" s="777"/>
      <c r="AA94" s="780" t="s">
        <v>2253</v>
      </c>
      <c r="AB94" s="777"/>
      <c r="AC94" s="777"/>
      <c r="AD94" s="777"/>
    </row>
    <row r="95" spans="1:30" ht="99" customHeight="1">
      <c r="A95" s="776"/>
      <c r="B95" s="829">
        <v>78</v>
      </c>
      <c r="C95" s="774" t="s">
        <v>2254</v>
      </c>
      <c r="D95" s="897"/>
      <c r="E95" s="774"/>
      <c r="F95" s="774"/>
      <c r="G95" s="774"/>
      <c r="H95" s="821"/>
      <c r="I95" s="935" t="str">
        <f t="shared" si="13"/>
        <v>15</v>
      </c>
      <c r="J95" s="935" t="str">
        <f t="shared" si="14"/>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5" s="935">
        <f t="shared" si="15"/>
        <v>0</v>
      </c>
      <c r="L95" s="775" t="str">
        <f t="shared" si="16"/>
        <v>15</v>
      </c>
      <c r="M95" s="775" t="str">
        <f t="shared" si="17"/>
        <v>Норматив удельного расхода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5" s="775" t="str">
        <f t="shared" si="18"/>
        <v/>
      </c>
      <c r="O95" s="887" t="s">
        <v>1507</v>
      </c>
      <c r="P95" s="887"/>
      <c r="Q95" s="887"/>
      <c r="R95" s="887"/>
      <c r="S95" s="887"/>
      <c r="T95" s="774" t="s">
        <v>2255</v>
      </c>
      <c r="U95" s="774"/>
      <c r="V95" s="774"/>
      <c r="W95" s="774"/>
      <c r="X95" s="774"/>
      <c r="Y95" s="930"/>
      <c r="Z95" s="777"/>
      <c r="AA95" s="780"/>
      <c r="AB95" s="777"/>
      <c r="AC95" s="777"/>
      <c r="AD95" s="777"/>
    </row>
    <row r="96" spans="1:30" ht="99" customHeight="1">
      <c r="A96" s="776"/>
      <c r="B96" s="829">
        <v>79</v>
      </c>
      <c r="C96" s="774" t="s">
        <v>1193</v>
      </c>
      <c r="D96" s="897"/>
      <c r="E96" s="774"/>
      <c r="F96" s="774"/>
      <c r="G96" s="774"/>
      <c r="H96" s="821"/>
      <c r="I96" s="935" t="str">
        <f t="shared" si="13"/>
        <v>16</v>
      </c>
      <c r="J96" s="935" t="str">
        <f t="shared" si="14"/>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K96" s="935" t="str">
        <f t="shared" si="15"/>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L96" s="775" t="str">
        <f t="shared" si="16"/>
        <v>16</v>
      </c>
      <c r="M96" s="775" t="str">
        <f t="shared" si="17"/>
        <v>Фактический удельный расход условного топлива при производстве тепловой энергии источниками тепловой энергии, используемыми для осуществления регулируемых видов деятельности, в целом по регулируемой организации или с распределением по источникам тепловой энергии (в зависимости от показателя (показателей), утвержденного уполномоченным органом)</v>
      </c>
      <c r="N96" s="775" t="str">
        <f t="shared" si="18"/>
        <v>Регулируемыми организациями указывается информация с распределением по источникам тепловой энергии, используемым для осуществления регулируемых видов деятельности.</v>
      </c>
      <c r="O96" s="887" t="s">
        <v>1513</v>
      </c>
      <c r="P96" s="887"/>
      <c r="Q96" s="887"/>
      <c r="R96" s="887"/>
      <c r="S96" s="887"/>
      <c r="T96" s="774" t="s">
        <v>2256</v>
      </c>
      <c r="U96" s="774"/>
      <c r="V96" s="774"/>
      <c r="W96" s="774"/>
      <c r="X96" s="774"/>
      <c r="Y96" s="930"/>
      <c r="Z96" s="777" t="s">
        <v>2257</v>
      </c>
      <c r="AA96" s="780"/>
      <c r="AB96" s="777"/>
      <c r="AC96" s="777"/>
      <c r="AD96" s="777"/>
    </row>
    <row r="97" spans="1:30" ht="63" customHeight="1">
      <c r="A97" s="776"/>
      <c r="B97" s="829">
        <v>80</v>
      </c>
      <c r="C97" s="774" t="s">
        <v>2258</v>
      </c>
      <c r="D97" s="897"/>
      <c r="E97" s="774"/>
      <c r="F97" s="774"/>
      <c r="G97" s="774"/>
      <c r="H97" s="821"/>
      <c r="I97" s="935" t="str">
        <f t="shared" si="13"/>
        <v>17</v>
      </c>
      <c r="J97" s="935" t="str">
        <f t="shared" si="14"/>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7" s="935" t="str">
        <f t="shared" si="15"/>
        <v>Регулируемыми организациями указывается информация с по договорам, заключенным в рамках осуществления регулируемой деятельности.</v>
      </c>
      <c r="L97" s="775" t="str">
        <f t="shared" si="16"/>
        <v>17</v>
      </c>
      <c r="M97" s="775" t="str">
        <f t="shared" si="17"/>
        <v>Удельный расход электрической энергии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7" s="775" t="str">
        <f t="shared" si="18"/>
        <v>Регулируемыми организациями указывается информация с по договорам, заключенным в рамках осуществления регулируемой деятельности.</v>
      </c>
      <c r="O97" s="887" t="s">
        <v>1525</v>
      </c>
      <c r="P97" s="887"/>
      <c r="Q97" s="887"/>
      <c r="R97" s="887"/>
      <c r="S97" s="887"/>
      <c r="T97" s="774" t="s">
        <v>2259</v>
      </c>
      <c r="U97" s="774"/>
      <c r="V97" s="774"/>
      <c r="W97" s="774"/>
      <c r="X97" s="774"/>
      <c r="Y97" s="930"/>
      <c r="Z97" s="777" t="s">
        <v>2260</v>
      </c>
      <c r="AA97" s="780"/>
      <c r="AB97" s="777"/>
      <c r="AC97" s="777"/>
      <c r="AD97" s="777"/>
    </row>
    <row r="98" spans="1:30" ht="63" customHeight="1">
      <c r="A98" s="776"/>
      <c r="B98" s="829">
        <v>81</v>
      </c>
      <c r="C98" s="774" t="s">
        <v>2261</v>
      </c>
      <c r="D98" s="897"/>
      <c r="E98" s="774"/>
      <c r="F98" s="774"/>
      <c r="G98" s="774"/>
      <c r="H98" s="821"/>
      <c r="I98" s="935" t="str">
        <f t="shared" si="13"/>
        <v>18</v>
      </c>
      <c r="J98" s="935" t="str">
        <f t="shared" si="14"/>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K98" s="935" t="str">
        <f t="shared" si="15"/>
        <v>Регулируемыми организациями указывается информация с по договорам, заключенным в рамках осуществления регулируемой деятельности.</v>
      </c>
      <c r="L98" s="775" t="str">
        <f t="shared" si="16"/>
        <v>18</v>
      </c>
      <c r="M98" s="775" t="str">
        <f t="shared" si="17"/>
        <v>Удельный расход холодной воды на производство (передачу) тепловой энергии на единицу тепловой энергии, отпускаемой потребителям по договорам, заключенным в рамках осуществления регулируемых видов деятельности</v>
      </c>
      <c r="N98" s="775" t="str">
        <f t="shared" si="18"/>
        <v>Регулируемыми организациями указывается информация с по договорам, заключенным в рамках осуществления регулируемой деятельности.</v>
      </c>
      <c r="O98" s="887" t="s">
        <v>1539</v>
      </c>
      <c r="P98" s="887"/>
      <c r="Q98" s="887"/>
      <c r="R98" s="887"/>
      <c r="S98" s="887"/>
      <c r="T98" s="774" t="s">
        <v>2262</v>
      </c>
      <c r="U98" s="774"/>
      <c r="V98" s="774"/>
      <c r="W98" s="774"/>
      <c r="X98" s="774"/>
      <c r="Y98" s="930"/>
      <c r="Z98" s="777" t="s">
        <v>2260</v>
      </c>
      <c r="AA98" s="780"/>
      <c r="AB98" s="777"/>
      <c r="AC98" s="777"/>
      <c r="AD98" s="777"/>
    </row>
    <row r="99" spans="1:30" ht="90" customHeight="1">
      <c r="A99" s="776"/>
      <c r="B99" s="829">
        <v>82</v>
      </c>
      <c r="C99" s="774" t="s">
        <v>2263</v>
      </c>
      <c r="D99" s="897"/>
      <c r="E99" s="774"/>
      <c r="F99" s="774"/>
      <c r="G99" s="774"/>
      <c r="H99" s="821"/>
      <c r="I99" s="935" t="str">
        <f t="shared" si="13"/>
        <v>19</v>
      </c>
      <c r="J99" s="935" t="str">
        <f t="shared" si="14"/>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K99" s="935" t="str">
        <f t="shared" si="15"/>
        <v>Указывается ссылка на документ, предварительно загруженный в хранилище файлов ФГИС ЕИАС.</v>
      </c>
      <c r="L99" s="775" t="str">
        <f t="shared" si="16"/>
        <v>19</v>
      </c>
      <c r="M99" s="775" t="str">
        <f t="shared" si="17"/>
        <v>Информация о показателях технико-экономического состояния систем теплоснабжения (за исключением теплопотребляющих установок потребителей тепловой энергии, теплоносителя, а также источников тепловой энергии, функционирующих в режиме комбинированной выработки электрической и тепловой энергии), в т.ч.:</v>
      </c>
      <c r="N99" s="775" t="str">
        <f t="shared" si="18"/>
        <v>Указывается ссылка на документ, предварительно загруженный в хранилище файлов ФГИС ЕИАС.</v>
      </c>
      <c r="O99" s="887" t="s">
        <v>1551</v>
      </c>
      <c r="P99" s="887"/>
      <c r="Q99" s="887"/>
      <c r="R99" s="887"/>
      <c r="S99" s="887"/>
      <c r="T99" s="774" t="s">
        <v>2264</v>
      </c>
      <c r="U99" s="774"/>
      <c r="V99" s="774"/>
      <c r="W99" s="774"/>
      <c r="X99" s="774"/>
      <c r="Y99" s="930"/>
      <c r="Z99" s="777" t="s">
        <v>677</v>
      </c>
      <c r="AA99" s="780"/>
      <c r="AB99" s="777"/>
      <c r="AC99" s="777"/>
      <c r="AD99" s="777"/>
    </row>
    <row r="100" spans="1:30" ht="27" customHeight="1">
      <c r="A100" s="776"/>
      <c r="B100" s="829">
        <v>83</v>
      </c>
      <c r="C100" s="774"/>
      <c r="D100" s="897"/>
      <c r="E100" s="774"/>
      <c r="F100" s="774"/>
      <c r="G100" s="774"/>
      <c r="H100" s="821"/>
      <c r="I100" s="935" t="str">
        <f t="shared" si="13"/>
        <v>19.1</v>
      </c>
      <c r="J100" s="935" t="str">
        <f t="shared" si="14"/>
        <v>Информация о показателях физического износа объектов теплоснабжения</v>
      </c>
      <c r="K100" s="935" t="str">
        <f t="shared" si="15"/>
        <v>Указывается ссылка на документ, предварительно загруженный в хранилище файлов ФГИС ЕИАС.</v>
      </c>
      <c r="L100" s="775" t="str">
        <f t="shared" si="16"/>
        <v>19.1</v>
      </c>
      <c r="M100" s="775" t="str">
        <f t="shared" si="17"/>
        <v>Информация о показателях физического износа объектов теплоснабжения</v>
      </c>
      <c r="N100" s="775" t="str">
        <f t="shared" si="18"/>
        <v>Указывается ссылка на документ, предварительно загруженный в хранилище файлов ФГИС ЕИАС.</v>
      </c>
      <c r="O100" s="887" t="s">
        <v>2265</v>
      </c>
      <c r="P100" s="887"/>
      <c r="Q100" s="887"/>
      <c r="R100" s="887"/>
      <c r="S100" s="887"/>
      <c r="T100" s="774" t="s">
        <v>2266</v>
      </c>
      <c r="U100" s="774"/>
      <c r="V100" s="774"/>
      <c r="W100" s="774"/>
      <c r="X100" s="774"/>
      <c r="Y100" s="930"/>
      <c r="Z100" s="777" t="s">
        <v>677</v>
      </c>
      <c r="AA100" s="780"/>
      <c r="AB100" s="777"/>
      <c r="AC100" s="777"/>
      <c r="AD100" s="777"/>
    </row>
    <row r="101" spans="1:30" ht="27" customHeight="1">
      <c r="A101" s="776"/>
      <c r="B101" s="829">
        <v>84</v>
      </c>
      <c r="C101" s="774"/>
      <c r="D101" s="897"/>
      <c r="E101" s="774"/>
      <c r="F101" s="774"/>
      <c r="G101" s="774"/>
      <c r="H101" s="821"/>
      <c r="I101" s="935" t="str">
        <f t="shared" si="13"/>
        <v>19.2</v>
      </c>
      <c r="J101" s="935" t="str">
        <f t="shared" si="14"/>
        <v>Информация о показателях энергетической эффективности объектов теплоснабжения</v>
      </c>
      <c r="K101" s="935" t="str">
        <f t="shared" si="15"/>
        <v>Указывается ссылка на документ, предварительно загруженный в хранилище файлов ФГИС ЕИАС.</v>
      </c>
      <c r="L101" s="775" t="str">
        <f t="shared" si="16"/>
        <v>19.2</v>
      </c>
      <c r="M101" s="775" t="str">
        <f t="shared" si="17"/>
        <v>Информация о показателях энергетической эффективности объектов теплоснабжения</v>
      </c>
      <c r="N101" s="775" t="str">
        <f t="shared" si="18"/>
        <v>Указывается ссылка на документ, предварительно загруженный в хранилище файлов ФГИС ЕИАС.</v>
      </c>
      <c r="O101" s="887" t="s">
        <v>2267</v>
      </c>
      <c r="P101" s="887"/>
      <c r="Q101" s="887"/>
      <c r="R101" s="887"/>
      <c r="S101" s="887"/>
      <c r="T101" s="774" t="s">
        <v>2268</v>
      </c>
      <c r="U101" s="774"/>
      <c r="V101" s="774"/>
      <c r="W101" s="774"/>
      <c r="X101" s="774"/>
      <c r="Y101" s="930"/>
      <c r="Z101" s="777" t="s">
        <v>677</v>
      </c>
      <c r="AA101" s="780"/>
      <c r="AB101" s="777"/>
      <c r="AC101" s="777"/>
      <c r="AD101" s="777"/>
    </row>
    <row r="102" spans="1:30" ht="9" customHeight="1">
      <c r="A102" s="776"/>
      <c r="B102" s="776"/>
      <c r="C102" s="774"/>
      <c r="D102" s="774"/>
      <c r="E102" s="774"/>
      <c r="F102" s="774"/>
      <c r="G102" s="774"/>
      <c r="H102" s="821"/>
      <c r="I102" s="821"/>
      <c r="J102" s="821"/>
      <c r="K102" s="821"/>
      <c r="L102" s="821"/>
      <c r="M102" s="774"/>
      <c r="N102" s="820"/>
      <c r="O102" s="887"/>
      <c r="P102" s="887"/>
      <c r="Q102" s="887"/>
      <c r="R102" s="887"/>
      <c r="S102" s="774"/>
      <c r="T102" s="774"/>
      <c r="U102" s="774"/>
      <c r="V102" s="774"/>
      <c r="W102" s="774"/>
      <c r="X102" s="774"/>
      <c r="Y102" s="930"/>
      <c r="Z102" s="777"/>
      <c r="AA102" s="780"/>
      <c r="AB102" s="777"/>
      <c r="AC102" s="777"/>
      <c r="AD102" s="777"/>
    </row>
    <row r="103" spans="1:30" ht="9" customHeight="1">
      <c r="A103" s="776"/>
      <c r="B103" s="776"/>
      <c r="C103" s="774"/>
      <c r="D103" s="774"/>
      <c r="E103" s="774"/>
      <c r="F103" s="774"/>
      <c r="G103" s="774"/>
      <c r="H103" s="821"/>
      <c r="I103" s="821"/>
      <c r="J103" s="821"/>
      <c r="K103" s="821"/>
      <c r="L103" s="821"/>
      <c r="M103" s="774"/>
      <c r="N103" s="820"/>
      <c r="O103" s="887"/>
      <c r="P103" s="887"/>
      <c r="Q103" s="887"/>
      <c r="R103" s="887"/>
      <c r="S103" s="774"/>
      <c r="T103" s="774"/>
      <c r="U103" s="774"/>
      <c r="V103" s="774"/>
      <c r="W103" s="774"/>
      <c r="X103" s="774"/>
      <c r="Y103" s="930"/>
      <c r="Z103" s="777"/>
      <c r="AA103" s="780"/>
      <c r="AB103" s="777"/>
      <c r="AC103" s="777"/>
      <c r="AD103" s="777"/>
    </row>
    <row r="104" spans="1:30" ht="9" customHeight="1">
      <c r="A104" s="776"/>
      <c r="B104" s="776"/>
      <c r="C104" s="774"/>
      <c r="D104" s="774"/>
      <c r="E104" s="774"/>
      <c r="F104" s="774"/>
      <c r="G104" s="774"/>
      <c r="H104" s="821"/>
      <c r="I104" s="821"/>
      <c r="J104" s="821"/>
      <c r="K104" s="821"/>
      <c r="L104" s="821"/>
      <c r="M104" s="774"/>
      <c r="N104" s="820"/>
      <c r="O104" s="887"/>
      <c r="P104" s="887"/>
      <c r="Q104" s="887"/>
      <c r="R104" s="887"/>
      <c r="S104" s="774"/>
      <c r="T104" s="774"/>
      <c r="U104" s="774"/>
      <c r="V104" s="774"/>
      <c r="W104" s="774"/>
      <c r="X104" s="774"/>
      <c r="Y104" s="930"/>
      <c r="Z104" s="777"/>
      <c r="AA104" s="780"/>
      <c r="AB104" s="777"/>
      <c r="AC104" s="777"/>
      <c r="AD104" s="777"/>
    </row>
    <row r="105" spans="1:30" ht="9" customHeight="1">
      <c r="A105" s="776"/>
      <c r="B105" s="776"/>
      <c r="C105" s="774"/>
      <c r="D105" s="774"/>
      <c r="E105" s="774"/>
      <c r="F105" s="774"/>
      <c r="G105" s="774"/>
      <c r="H105" s="821"/>
      <c r="I105" s="821"/>
      <c r="J105" s="821"/>
      <c r="K105" s="821"/>
      <c r="L105" s="821"/>
      <c r="M105" s="774"/>
      <c r="N105" s="820"/>
      <c r="O105" s="887"/>
      <c r="P105" s="887"/>
      <c r="Q105" s="887"/>
      <c r="R105" s="887"/>
      <c r="S105" s="774"/>
      <c r="T105" s="774"/>
      <c r="U105" s="774"/>
      <c r="V105" s="774"/>
      <c r="W105" s="774"/>
      <c r="X105" s="774"/>
      <c r="Y105" s="930"/>
      <c r="Z105" s="777"/>
      <c r="AA105" s="780"/>
      <c r="AB105" s="777"/>
      <c r="AC105" s="777"/>
      <c r="AD105" s="777"/>
    </row>
    <row r="106" spans="1:30" ht="9" customHeight="1">
      <c r="A106" s="776"/>
      <c r="B106" s="776"/>
      <c r="C106" s="774"/>
      <c r="D106" s="774"/>
      <c r="E106" s="774"/>
      <c r="F106" s="774"/>
      <c r="G106" s="774"/>
      <c r="H106" s="821"/>
      <c r="I106" s="821"/>
      <c r="J106" s="821"/>
      <c r="K106" s="821"/>
      <c r="L106" s="821"/>
      <c r="M106" s="774"/>
      <c r="N106" s="820"/>
      <c r="O106" s="887"/>
      <c r="P106" s="887"/>
      <c r="Q106" s="887"/>
      <c r="R106" s="887"/>
      <c r="S106" s="774"/>
      <c r="T106" s="774"/>
      <c r="U106" s="774"/>
      <c r="V106" s="774"/>
      <c r="W106" s="774"/>
      <c r="X106" s="774"/>
      <c r="Y106" s="930"/>
      <c r="Z106" s="777"/>
      <c r="AA106" s="780"/>
      <c r="AB106" s="777"/>
      <c r="AC106" s="777"/>
      <c r="AD106" s="777"/>
    </row>
    <row r="107" spans="1:30" ht="9" customHeight="1">
      <c r="A107" s="776"/>
      <c r="B107" s="776"/>
      <c r="C107" s="774"/>
      <c r="D107" s="774"/>
      <c r="E107" s="774"/>
      <c r="F107" s="774"/>
      <c r="G107" s="774"/>
      <c r="H107" s="821"/>
      <c r="I107" s="821"/>
      <c r="J107" s="821"/>
      <c r="K107" s="821"/>
      <c r="L107" s="821"/>
      <c r="M107" s="774"/>
      <c r="N107" s="820"/>
      <c r="O107" s="887"/>
      <c r="P107" s="887"/>
      <c r="Q107" s="887"/>
      <c r="R107" s="887"/>
      <c r="S107" s="774"/>
      <c r="T107" s="774"/>
      <c r="U107" s="774"/>
      <c r="V107" s="774"/>
      <c r="W107" s="774"/>
      <c r="X107" s="774"/>
      <c r="Y107" s="930"/>
      <c r="Z107" s="777"/>
      <c r="AA107" s="780"/>
      <c r="AB107" s="777"/>
      <c r="AC107" s="777"/>
      <c r="AD107" s="777"/>
    </row>
    <row r="108" spans="1:30" ht="9" customHeight="1">
      <c r="A108" s="776"/>
      <c r="B108" s="776"/>
      <c r="C108" s="774"/>
      <c r="D108" s="774"/>
      <c r="E108" s="774"/>
      <c r="F108" s="774"/>
      <c r="G108" s="774"/>
      <c r="H108" s="821"/>
      <c r="I108" s="821"/>
      <c r="J108" s="821"/>
      <c r="K108" s="821"/>
      <c r="L108" s="821"/>
      <c r="M108" s="774"/>
      <c r="N108" s="820"/>
      <c r="O108" s="887"/>
      <c r="P108" s="887"/>
      <c r="Q108" s="887"/>
      <c r="R108" s="887"/>
      <c r="S108" s="774"/>
      <c r="T108" s="774"/>
      <c r="U108" s="774"/>
      <c r="V108" s="774"/>
      <c r="W108" s="774"/>
      <c r="X108" s="774"/>
      <c r="Y108" s="930"/>
      <c r="Z108" s="777"/>
      <c r="AA108" s="780"/>
      <c r="AB108" s="777"/>
      <c r="AC108" s="777"/>
      <c r="AD108" s="777"/>
    </row>
    <row r="109" spans="1:30" ht="9" customHeight="1">
      <c r="A109" s="776"/>
      <c r="B109" s="776"/>
      <c r="C109" s="774"/>
      <c r="D109" s="774"/>
      <c r="E109" s="774"/>
      <c r="F109" s="774"/>
      <c r="G109" s="774"/>
      <c r="H109" s="821"/>
      <c r="I109" s="821"/>
      <c r="J109" s="821"/>
      <c r="K109" s="821"/>
      <c r="L109" s="821"/>
      <c r="M109" s="774"/>
      <c r="N109" s="820"/>
      <c r="O109" s="887"/>
      <c r="P109" s="887"/>
      <c r="Q109" s="887"/>
      <c r="R109" s="887"/>
      <c r="S109" s="774"/>
      <c r="T109" s="774"/>
      <c r="U109" s="774"/>
      <c r="V109" s="774"/>
      <c r="W109" s="774"/>
      <c r="X109" s="774"/>
      <c r="Y109" s="930"/>
      <c r="Z109" s="777"/>
      <c r="AA109" s="780"/>
      <c r="AB109" s="777"/>
      <c r="AC109" s="777"/>
      <c r="AD109" s="777"/>
    </row>
    <row r="110" spans="1:30" ht="9" customHeight="1">
      <c r="A110" s="776"/>
      <c r="B110" s="776"/>
      <c r="C110" s="774"/>
      <c r="D110" s="774"/>
      <c r="E110" s="774"/>
      <c r="F110" s="774"/>
      <c r="G110" s="774"/>
      <c r="H110" s="821"/>
      <c r="I110" s="821"/>
      <c r="J110" s="821"/>
      <c r="K110" s="821"/>
      <c r="L110" s="821"/>
      <c r="M110" s="774"/>
      <c r="N110" s="820"/>
      <c r="O110" s="887"/>
      <c r="P110" s="887"/>
      <c r="Q110" s="887"/>
      <c r="R110" s="887"/>
      <c r="S110" s="774"/>
      <c r="T110" s="774"/>
      <c r="U110" s="774"/>
      <c r="V110" s="774"/>
      <c r="W110" s="774"/>
      <c r="X110" s="774"/>
      <c r="Y110" s="930"/>
      <c r="Z110" s="777"/>
      <c r="AA110" s="780"/>
      <c r="AB110" s="777"/>
      <c r="AC110" s="777"/>
      <c r="AD110" s="777"/>
    </row>
    <row r="111" spans="1:30" ht="9" customHeight="1">
      <c r="A111" s="776"/>
      <c r="B111" s="776"/>
      <c r="C111" s="774"/>
      <c r="D111" s="774"/>
      <c r="E111" s="774"/>
      <c r="F111" s="774"/>
      <c r="G111" s="774"/>
      <c r="H111" s="821"/>
      <c r="I111" s="821"/>
      <c r="J111" s="821"/>
      <c r="K111" s="821"/>
      <c r="L111" s="821"/>
      <c r="M111" s="774"/>
      <c r="N111" s="820"/>
      <c r="O111" s="887"/>
      <c r="P111" s="887"/>
      <c r="Q111" s="887"/>
      <c r="R111" s="887"/>
      <c r="S111" s="774"/>
      <c r="T111" s="774"/>
      <c r="U111" s="774"/>
      <c r="V111" s="774"/>
      <c r="W111" s="774"/>
      <c r="X111" s="774"/>
      <c r="Y111" s="930"/>
      <c r="Z111" s="777"/>
      <c r="AA111" s="780"/>
      <c r="AB111" s="777"/>
      <c r="AC111" s="777"/>
      <c r="AD111" s="777"/>
    </row>
    <row r="112" spans="1:30" ht="9" customHeight="1">
      <c r="A112" s="776"/>
      <c r="B112" s="776"/>
      <c r="C112" s="774"/>
      <c r="D112" s="774"/>
      <c r="E112" s="774"/>
      <c r="F112" s="774"/>
      <c r="G112" s="774"/>
      <c r="H112" s="821"/>
      <c r="I112" s="821"/>
      <c r="J112" s="821"/>
      <c r="K112" s="821"/>
      <c r="L112" s="821"/>
      <c r="M112" s="774"/>
      <c r="N112" s="820"/>
      <c r="O112" s="887"/>
      <c r="P112" s="887"/>
      <c r="Q112" s="887"/>
      <c r="R112" s="887"/>
      <c r="S112" s="774"/>
      <c r="T112" s="774"/>
      <c r="U112" s="774"/>
      <c r="V112" s="774"/>
      <c r="W112" s="774"/>
      <c r="X112" s="774"/>
      <c r="Y112" s="930"/>
      <c r="Z112" s="777"/>
      <c r="AA112" s="780"/>
      <c r="AB112" s="777"/>
      <c r="AC112" s="777"/>
      <c r="AD112" s="777"/>
    </row>
    <row r="113" spans="1:30" ht="9" customHeight="1">
      <c r="A113" s="776"/>
      <c r="B113" s="776"/>
      <c r="C113" s="774"/>
      <c r="D113" s="774"/>
      <c r="E113" s="774"/>
      <c r="F113" s="774"/>
      <c r="G113" s="774"/>
      <c r="H113" s="821"/>
      <c r="I113" s="821"/>
      <c r="J113" s="821"/>
      <c r="K113" s="821"/>
      <c r="L113" s="821"/>
      <c r="M113" s="774"/>
      <c r="N113" s="820"/>
      <c r="O113" s="887"/>
      <c r="P113" s="887"/>
      <c r="Q113" s="887"/>
      <c r="R113" s="887"/>
      <c r="S113" s="774"/>
      <c r="T113" s="774"/>
      <c r="U113" s="774"/>
      <c r="V113" s="774"/>
      <c r="W113" s="774"/>
      <c r="X113" s="774"/>
      <c r="Y113" s="930"/>
      <c r="Z113" s="777"/>
      <c r="AA113" s="780"/>
      <c r="AB113" s="777"/>
      <c r="AC113" s="777"/>
      <c r="AD113" s="777"/>
    </row>
    <row r="114" spans="1:30" ht="9" customHeight="1">
      <c r="A114" s="776"/>
      <c r="B114" s="776"/>
      <c r="C114" s="774"/>
      <c r="D114" s="774"/>
      <c r="E114" s="774"/>
      <c r="F114" s="774"/>
      <c r="G114" s="774"/>
      <c r="H114" s="821"/>
      <c r="I114" s="821"/>
      <c r="J114" s="821"/>
      <c r="K114" s="821"/>
      <c r="L114" s="821"/>
      <c r="M114" s="774"/>
      <c r="N114" s="820"/>
      <c r="O114" s="887"/>
      <c r="P114" s="887"/>
      <c r="Q114" s="887"/>
      <c r="R114" s="887"/>
      <c r="S114" s="774"/>
      <c r="T114" s="774"/>
      <c r="U114" s="774"/>
      <c r="V114" s="774"/>
      <c r="W114" s="774"/>
      <c r="X114" s="774"/>
      <c r="Y114" s="930"/>
      <c r="Z114" s="777"/>
      <c r="AA114" s="780"/>
      <c r="AB114" s="777"/>
      <c r="AC114" s="777"/>
      <c r="AD114" s="777"/>
    </row>
    <row r="115" spans="1:30" ht="9" customHeight="1">
      <c r="A115" s="776"/>
      <c r="B115" s="776"/>
      <c r="C115" s="774"/>
      <c r="D115" s="774"/>
      <c r="E115" s="774"/>
      <c r="F115" s="774"/>
      <c r="G115" s="774"/>
      <c r="H115" s="821"/>
      <c r="I115" s="821"/>
      <c r="J115" s="821"/>
      <c r="K115" s="821"/>
      <c r="L115" s="821"/>
      <c r="M115" s="774"/>
      <c r="N115" s="820"/>
      <c r="O115" s="887"/>
      <c r="P115" s="887"/>
      <c r="Q115" s="887"/>
      <c r="R115" s="887"/>
      <c r="S115" s="774"/>
      <c r="T115" s="774"/>
      <c r="U115" s="774"/>
      <c r="V115" s="774"/>
      <c r="W115" s="774"/>
      <c r="X115" s="774"/>
      <c r="Y115" s="930"/>
      <c r="Z115" s="777"/>
      <c r="AA115" s="780"/>
      <c r="AB115" s="777"/>
      <c r="AC115" s="777"/>
      <c r="AD115" s="777"/>
    </row>
    <row r="116" spans="1:30" ht="9" customHeight="1">
      <c r="A116" s="776"/>
      <c r="B116" s="776"/>
      <c r="C116" s="774"/>
      <c r="D116" s="774"/>
      <c r="E116" s="774"/>
      <c r="F116" s="774"/>
      <c r="G116" s="774"/>
      <c r="H116" s="821"/>
      <c r="I116" s="821"/>
      <c r="J116" s="821"/>
      <c r="K116" s="821"/>
      <c r="L116" s="821"/>
      <c r="M116" s="774"/>
      <c r="N116" s="820"/>
      <c r="O116" s="887"/>
      <c r="P116" s="887"/>
      <c r="Q116" s="887"/>
      <c r="R116" s="887"/>
      <c r="S116" s="774"/>
      <c r="T116" s="774"/>
      <c r="U116" s="774"/>
      <c r="V116" s="774"/>
      <c r="W116" s="774"/>
      <c r="X116" s="774"/>
      <c r="Y116" s="930"/>
      <c r="Z116" s="777"/>
      <c r="AA116" s="780"/>
      <c r="AB116" s="777"/>
      <c r="AC116" s="777"/>
      <c r="AD116" s="777"/>
    </row>
    <row r="117" spans="1:30" ht="9" customHeight="1">
      <c r="A117" s="776"/>
      <c r="B117" s="776"/>
      <c r="C117" s="774"/>
      <c r="D117" s="774"/>
      <c r="E117" s="774"/>
      <c r="F117" s="774"/>
      <c r="G117" s="774"/>
      <c r="H117" s="821"/>
      <c r="I117" s="821"/>
      <c r="J117" s="821"/>
      <c r="K117" s="821"/>
      <c r="L117" s="821"/>
      <c r="M117" s="774"/>
      <c r="N117" s="820"/>
      <c r="O117" s="887"/>
      <c r="P117" s="887"/>
      <c r="Q117" s="887"/>
      <c r="R117" s="887"/>
      <c r="S117" s="774"/>
      <c r="T117" s="774"/>
      <c r="U117" s="774"/>
      <c r="V117" s="774"/>
      <c r="W117" s="774"/>
      <c r="X117" s="774"/>
      <c r="Y117" s="930"/>
      <c r="Z117" s="777"/>
      <c r="AA117" s="780"/>
      <c r="AB117" s="777"/>
      <c r="AC117" s="777"/>
      <c r="AD117" s="777"/>
    </row>
    <row r="118" spans="1:30" ht="9" customHeight="1">
      <c r="A118" s="776"/>
      <c r="B118" s="776"/>
      <c r="C118" s="774"/>
      <c r="D118" s="774"/>
      <c r="E118" s="774"/>
      <c r="F118" s="774"/>
      <c r="G118" s="774"/>
      <c r="H118" s="821"/>
      <c r="I118" s="821"/>
      <c r="J118" s="821"/>
      <c r="K118" s="821"/>
      <c r="L118" s="821"/>
      <c r="M118" s="774"/>
      <c r="N118" s="820"/>
      <c r="O118" s="887"/>
      <c r="P118" s="887"/>
      <c r="Q118" s="887"/>
      <c r="R118" s="887"/>
      <c r="S118" s="774"/>
      <c r="T118" s="774"/>
      <c r="U118" s="774"/>
      <c r="V118" s="774"/>
      <c r="W118" s="774"/>
      <c r="X118" s="774"/>
      <c r="Y118" s="930"/>
      <c r="Z118" s="777"/>
      <c r="AA118" s="780"/>
      <c r="AB118" s="777"/>
      <c r="AC118" s="777"/>
      <c r="AD118" s="777"/>
    </row>
    <row r="119" spans="1:30" ht="9" customHeight="1">
      <c r="A119" s="776"/>
      <c r="B119" s="776"/>
      <c r="C119" s="774"/>
      <c r="D119" s="774"/>
      <c r="E119" s="774"/>
      <c r="F119" s="774"/>
      <c r="G119" s="774"/>
      <c r="H119" s="821"/>
      <c r="I119" s="821"/>
      <c r="J119" s="821"/>
      <c r="K119" s="821"/>
      <c r="L119" s="821"/>
      <c r="M119" s="774"/>
      <c r="N119" s="820"/>
      <c r="O119" s="887"/>
      <c r="P119" s="887"/>
      <c r="Q119" s="887"/>
      <c r="R119" s="887"/>
      <c r="S119" s="774"/>
      <c r="T119" s="774"/>
      <c r="U119" s="774"/>
      <c r="V119" s="774"/>
      <c r="W119" s="774"/>
      <c r="X119" s="774"/>
      <c r="Y119" s="930"/>
      <c r="Z119" s="777"/>
      <c r="AA119" s="780"/>
      <c r="AB119" s="777"/>
      <c r="AC119" s="777"/>
      <c r="AD119" s="777"/>
    </row>
    <row r="120" spans="1:30" ht="9" customHeight="1">
      <c r="A120" s="776"/>
      <c r="B120" s="776"/>
      <c r="C120" s="774"/>
      <c r="D120" s="774"/>
      <c r="E120" s="774"/>
      <c r="F120" s="774"/>
      <c r="G120" s="774"/>
      <c r="H120" s="821"/>
      <c r="I120" s="821"/>
      <c r="J120" s="821"/>
      <c r="K120" s="821"/>
      <c r="L120" s="821"/>
      <c r="M120" s="774"/>
      <c r="N120" s="820"/>
      <c r="O120" s="887"/>
      <c r="P120" s="887"/>
      <c r="Q120" s="887"/>
      <c r="R120" s="887"/>
      <c r="S120" s="774"/>
      <c r="T120" s="774"/>
      <c r="U120" s="774"/>
      <c r="V120" s="774"/>
      <c r="W120" s="774"/>
      <c r="X120" s="774"/>
      <c r="Y120" s="930"/>
      <c r="Z120" s="777"/>
      <c r="AA120" s="780"/>
      <c r="AB120" s="777"/>
      <c r="AC120" s="777"/>
      <c r="AD120" s="777"/>
    </row>
    <row r="121" spans="1:30" ht="9" customHeight="1">
      <c r="A121" s="776"/>
      <c r="B121" s="776"/>
      <c r="C121" s="774"/>
      <c r="D121" s="774"/>
      <c r="E121" s="774"/>
      <c r="F121" s="774"/>
      <c r="G121" s="774"/>
      <c r="H121" s="821"/>
      <c r="I121" s="821"/>
      <c r="J121" s="821"/>
      <c r="K121" s="821"/>
      <c r="L121" s="821"/>
      <c r="M121" s="774"/>
      <c r="N121" s="820"/>
      <c r="O121" s="887"/>
      <c r="P121" s="887"/>
      <c r="Q121" s="887"/>
      <c r="R121" s="887"/>
      <c r="S121" s="774"/>
      <c r="T121" s="774"/>
      <c r="U121" s="774"/>
      <c r="V121" s="774"/>
      <c r="W121" s="774"/>
      <c r="X121" s="774"/>
      <c r="Y121" s="930"/>
      <c r="Z121" s="777"/>
      <c r="AA121" s="780"/>
      <c r="AB121" s="777"/>
      <c r="AC121" s="777"/>
      <c r="AD121" s="777"/>
    </row>
    <row r="122" spans="1:30" ht="9" customHeight="1">
      <c r="A122" s="776"/>
      <c r="B122" s="776"/>
      <c r="C122" s="774"/>
      <c r="D122" s="774"/>
      <c r="E122" s="774"/>
      <c r="F122" s="774"/>
      <c r="G122" s="774"/>
      <c r="H122" s="821"/>
      <c r="I122" s="821"/>
      <c r="J122" s="821"/>
      <c r="K122" s="821"/>
      <c r="L122" s="821"/>
      <c r="M122" s="774"/>
      <c r="N122" s="820"/>
      <c r="O122" s="887"/>
      <c r="P122" s="887"/>
      <c r="Q122" s="887"/>
      <c r="R122" s="887"/>
      <c r="S122" s="774"/>
      <c r="T122" s="774"/>
      <c r="U122" s="774"/>
      <c r="V122" s="774"/>
      <c r="W122" s="774"/>
      <c r="X122" s="774"/>
      <c r="Y122" s="930"/>
      <c r="Z122" s="777"/>
      <c r="AA122" s="780"/>
      <c r="AB122" s="777"/>
      <c r="AC122" s="777"/>
      <c r="AD122" s="777"/>
    </row>
    <row r="123" spans="1:30" ht="9" customHeight="1">
      <c r="A123" s="776"/>
      <c r="B123" s="776"/>
      <c r="C123" s="774"/>
      <c r="D123" s="774"/>
      <c r="E123" s="774"/>
      <c r="F123" s="774"/>
      <c r="G123" s="774"/>
      <c r="H123" s="821"/>
      <c r="I123" s="821"/>
      <c r="J123" s="821"/>
      <c r="K123" s="821"/>
      <c r="L123" s="821"/>
      <c r="M123" s="774"/>
      <c r="N123" s="820"/>
      <c r="O123" s="887"/>
      <c r="P123" s="887"/>
      <c r="Q123" s="887"/>
      <c r="R123" s="887"/>
      <c r="S123" s="774"/>
      <c r="T123" s="774"/>
      <c r="U123" s="774"/>
      <c r="V123" s="774"/>
      <c r="W123" s="774"/>
      <c r="X123" s="774"/>
      <c r="Y123" s="930"/>
      <c r="Z123" s="777"/>
      <c r="AA123" s="780"/>
      <c r="AB123" s="777"/>
      <c r="AC123" s="777"/>
      <c r="AD123" s="777"/>
    </row>
    <row r="124" spans="1:30" ht="9" customHeight="1">
      <c r="A124" s="776"/>
      <c r="B124" s="776"/>
      <c r="C124" s="774"/>
      <c r="D124" s="774"/>
      <c r="E124" s="774"/>
      <c r="F124" s="774"/>
      <c r="G124" s="774"/>
      <c r="H124" s="821"/>
      <c r="I124" s="821"/>
      <c r="J124" s="821"/>
      <c r="K124" s="821"/>
      <c r="L124" s="821"/>
      <c r="M124" s="774"/>
      <c r="N124" s="820"/>
      <c r="O124" s="887"/>
      <c r="P124" s="887"/>
      <c r="Q124" s="887"/>
      <c r="R124" s="887"/>
      <c r="S124" s="774"/>
      <c r="T124" s="774"/>
      <c r="U124" s="774"/>
      <c r="V124" s="774"/>
      <c r="W124" s="774"/>
      <c r="X124" s="774"/>
      <c r="Y124" s="930"/>
      <c r="Z124" s="777"/>
      <c r="AA124" s="780"/>
      <c r="AB124" s="777"/>
      <c r="AC124" s="777"/>
      <c r="AD124" s="777"/>
    </row>
    <row r="125" spans="1:30" ht="9" customHeight="1">
      <c r="A125" s="776"/>
      <c r="B125" s="776"/>
      <c r="C125" s="774"/>
      <c r="D125" s="774"/>
      <c r="E125" s="774"/>
      <c r="F125" s="774"/>
      <c r="G125" s="774"/>
      <c r="H125" s="821"/>
      <c r="I125" s="821"/>
      <c r="J125" s="821"/>
      <c r="K125" s="821"/>
      <c r="L125" s="821"/>
      <c r="M125" s="774"/>
      <c r="N125" s="820"/>
      <c r="O125" s="887"/>
      <c r="P125" s="887"/>
      <c r="Q125" s="887"/>
      <c r="R125" s="887"/>
      <c r="S125" s="774"/>
      <c r="T125" s="774"/>
      <c r="U125" s="774"/>
      <c r="V125" s="774"/>
      <c r="W125" s="774"/>
      <c r="X125" s="774"/>
      <c r="Y125" s="930"/>
      <c r="Z125" s="777"/>
      <c r="AA125" s="780"/>
      <c r="AB125" s="777"/>
      <c r="AC125" s="777"/>
      <c r="AD125" s="777"/>
    </row>
    <row r="126" spans="1:30" ht="9" customHeight="1">
      <c r="A126" s="776"/>
      <c r="B126" s="776"/>
      <c r="C126" s="774"/>
      <c r="D126" s="774"/>
      <c r="E126" s="774"/>
      <c r="F126" s="774"/>
      <c r="G126" s="774"/>
      <c r="H126" s="821"/>
      <c r="I126" s="821"/>
      <c r="J126" s="821"/>
      <c r="K126" s="821"/>
      <c r="L126" s="821"/>
      <c r="M126" s="774"/>
      <c r="N126" s="820"/>
      <c r="O126" s="887"/>
      <c r="P126" s="887"/>
      <c r="Q126" s="887"/>
      <c r="R126" s="887"/>
      <c r="S126" s="774"/>
      <c r="T126" s="774"/>
      <c r="U126" s="774"/>
      <c r="V126" s="774"/>
      <c r="W126" s="774"/>
      <c r="X126" s="774"/>
      <c r="Y126" s="930"/>
      <c r="Z126" s="777"/>
      <c r="AA126" s="780"/>
      <c r="AB126" s="777"/>
      <c r="AC126" s="777"/>
      <c r="AD126" s="777"/>
    </row>
    <row r="127" spans="1:30" ht="9" customHeight="1">
      <c r="A127" s="776"/>
      <c r="B127" s="776"/>
      <c r="C127" s="774"/>
      <c r="D127" s="774"/>
      <c r="E127" s="774"/>
      <c r="F127" s="774"/>
      <c r="G127" s="774"/>
      <c r="H127" s="821"/>
      <c r="I127" s="821"/>
      <c r="J127" s="821"/>
      <c r="K127" s="821"/>
      <c r="L127" s="821"/>
      <c r="M127" s="774"/>
      <c r="N127" s="820"/>
      <c r="O127" s="887"/>
      <c r="P127" s="887"/>
      <c r="Q127" s="887"/>
      <c r="R127" s="887"/>
      <c r="S127" s="774"/>
      <c r="T127" s="774"/>
      <c r="U127" s="774"/>
      <c r="V127" s="774"/>
      <c r="W127" s="774"/>
      <c r="X127" s="774"/>
      <c r="Y127" s="930"/>
      <c r="Z127" s="777"/>
      <c r="AA127" s="780"/>
      <c r="AB127" s="777"/>
      <c r="AC127" s="777"/>
      <c r="AD127" s="777"/>
    </row>
    <row r="128" spans="1:30" ht="9" customHeight="1">
      <c r="A128" s="776"/>
      <c r="B128" s="776"/>
      <c r="C128" s="774"/>
      <c r="D128" s="774"/>
      <c r="E128" s="774"/>
      <c r="F128" s="774"/>
      <c r="G128" s="774"/>
      <c r="H128" s="821"/>
      <c r="I128" s="821"/>
      <c r="J128" s="821"/>
      <c r="K128" s="821"/>
      <c r="L128" s="821"/>
      <c r="M128" s="774"/>
      <c r="N128" s="820"/>
      <c r="O128" s="887"/>
      <c r="P128" s="887"/>
      <c r="Q128" s="887"/>
      <c r="R128" s="887"/>
      <c r="S128" s="774"/>
      <c r="T128" s="774"/>
      <c r="U128" s="774"/>
      <c r="V128" s="774"/>
      <c r="W128" s="774"/>
      <c r="X128" s="774"/>
      <c r="Y128" s="930"/>
      <c r="Z128" s="777"/>
      <c r="AA128" s="780"/>
      <c r="AB128" s="777"/>
      <c r="AC128" s="777"/>
      <c r="AD128" s="777"/>
    </row>
    <row r="129" spans="1:30" ht="9" customHeight="1">
      <c r="A129" s="776"/>
      <c r="B129" s="776"/>
      <c r="C129" s="774"/>
      <c r="D129" s="774"/>
      <c r="E129" s="774"/>
      <c r="F129" s="774"/>
      <c r="G129" s="774"/>
      <c r="H129" s="821"/>
      <c r="I129" s="821"/>
      <c r="J129" s="821"/>
      <c r="K129" s="821"/>
      <c r="L129" s="821"/>
      <c r="M129" s="774"/>
      <c r="N129" s="820"/>
      <c r="O129" s="887"/>
      <c r="P129" s="887"/>
      <c r="Q129" s="887"/>
      <c r="R129" s="887"/>
      <c r="S129" s="774"/>
      <c r="T129" s="774"/>
      <c r="U129" s="774"/>
      <c r="V129" s="774"/>
      <c r="W129" s="774"/>
      <c r="X129" s="774"/>
      <c r="Y129" s="930"/>
      <c r="Z129" s="777"/>
      <c r="AA129" s="780"/>
      <c r="AB129" s="777"/>
      <c r="AC129" s="777"/>
      <c r="AD129" s="777"/>
    </row>
    <row r="130" spans="1:30" ht="9" customHeight="1">
      <c r="A130" s="776"/>
      <c r="B130" s="776"/>
      <c r="C130" s="774"/>
      <c r="D130" s="774"/>
      <c r="E130" s="774"/>
      <c r="F130" s="774"/>
      <c r="G130" s="774"/>
      <c r="H130" s="821"/>
      <c r="I130" s="821"/>
      <c r="J130" s="821"/>
      <c r="K130" s="821"/>
      <c r="L130" s="821"/>
      <c r="M130" s="774"/>
      <c r="N130" s="820"/>
      <c r="O130" s="889"/>
      <c r="P130" s="889"/>
      <c r="Q130" s="889"/>
      <c r="R130" s="889"/>
      <c r="S130" s="774"/>
      <c r="T130" s="774"/>
      <c r="U130" s="774"/>
      <c r="V130" s="774"/>
      <c r="W130" s="774"/>
      <c r="X130" s="774"/>
      <c r="Y130" s="930"/>
      <c r="Z130" s="777"/>
      <c r="AA130" s="780"/>
      <c r="AB130" s="777"/>
      <c r="AC130" s="777"/>
      <c r="AD130" s="777"/>
    </row>
    <row r="131" spans="1:30" ht="9" customHeight="1">
      <c r="A131" s="776"/>
      <c r="B131" s="776"/>
      <c r="C131" s="774"/>
      <c r="D131" s="774"/>
      <c r="E131" s="774"/>
      <c r="F131" s="774"/>
      <c r="G131" s="774"/>
      <c r="H131" s="821"/>
      <c r="I131" s="821"/>
      <c r="J131" s="821"/>
      <c r="K131" s="821"/>
      <c r="L131" s="821"/>
      <c r="M131" s="774"/>
      <c r="N131" s="820"/>
      <c r="O131" s="890"/>
      <c r="P131" s="890"/>
      <c r="Q131" s="890"/>
      <c r="R131" s="890"/>
      <c r="S131" s="774"/>
      <c r="T131" s="774"/>
      <c r="U131" s="774"/>
      <c r="V131" s="774"/>
      <c r="W131" s="774"/>
      <c r="X131" s="774"/>
      <c r="Y131" s="930"/>
      <c r="Z131" s="777"/>
      <c r="AA131" s="780"/>
      <c r="AB131" s="777"/>
      <c r="AC131" s="777"/>
      <c r="AD131" s="777"/>
    </row>
    <row r="132" spans="1:30" ht="9" customHeight="1">
      <c r="A132" s="776"/>
      <c r="B132" s="776"/>
      <c r="C132" s="774"/>
      <c r="D132" s="774"/>
      <c r="E132" s="774"/>
      <c r="F132" s="774"/>
      <c r="G132" s="774"/>
      <c r="H132" s="821"/>
      <c r="I132" s="821"/>
      <c r="J132" s="821"/>
      <c r="K132" s="821"/>
      <c r="L132" s="821"/>
      <c r="M132" s="774"/>
      <c r="N132" s="820"/>
      <c r="O132" s="889"/>
      <c r="P132" s="889"/>
      <c r="Q132" s="889"/>
      <c r="R132" s="889"/>
      <c r="S132" s="774"/>
      <c r="T132" s="774"/>
      <c r="U132" s="774"/>
      <c r="V132" s="774"/>
      <c r="W132" s="774"/>
      <c r="X132" s="774"/>
      <c r="Y132" s="930"/>
      <c r="Z132" s="777"/>
      <c r="AA132" s="780"/>
      <c r="AB132" s="777"/>
      <c r="AC132" s="777"/>
      <c r="AD132" s="777"/>
    </row>
    <row r="133" spans="1:30" ht="9" customHeight="1">
      <c r="A133" s="776"/>
      <c r="B133" s="776"/>
      <c r="C133" s="774"/>
      <c r="D133" s="774"/>
      <c r="E133" s="774"/>
      <c r="F133" s="774"/>
      <c r="G133" s="774"/>
      <c r="H133" s="821"/>
      <c r="I133" s="821"/>
      <c r="J133" s="821"/>
      <c r="K133" s="821"/>
      <c r="L133" s="821"/>
      <c r="M133" s="774"/>
      <c r="N133" s="820"/>
      <c r="O133" s="890"/>
      <c r="P133" s="890"/>
      <c r="Q133" s="890"/>
      <c r="R133" s="890"/>
      <c r="S133" s="774"/>
      <c r="T133" s="774"/>
      <c r="U133" s="774"/>
      <c r="V133" s="774"/>
      <c r="W133" s="774"/>
      <c r="X133" s="774"/>
      <c r="Y133" s="930"/>
      <c r="Z133" s="777"/>
      <c r="AA133" s="780"/>
      <c r="AB133" s="777"/>
      <c r="AC133" s="777"/>
      <c r="AD133" s="777"/>
    </row>
    <row r="134" spans="1:30" ht="9" customHeight="1">
      <c r="A134" s="776"/>
      <c r="B134" s="776"/>
      <c r="C134" s="774"/>
      <c r="D134" s="774"/>
      <c r="E134" s="774"/>
      <c r="F134" s="774"/>
      <c r="G134" s="774"/>
      <c r="H134" s="821"/>
      <c r="I134" s="821"/>
      <c r="J134" s="821"/>
      <c r="K134" s="821"/>
      <c r="L134" s="821"/>
      <c r="M134" s="774"/>
      <c r="N134" s="820"/>
      <c r="O134" s="887"/>
      <c r="P134" s="887"/>
      <c r="Q134" s="887"/>
      <c r="R134" s="887"/>
      <c r="S134" s="774"/>
      <c r="T134" s="774"/>
      <c r="U134" s="774"/>
      <c r="V134" s="774"/>
      <c r="W134" s="774"/>
      <c r="X134" s="774"/>
      <c r="Y134" s="930"/>
      <c r="Z134" s="777"/>
      <c r="AA134" s="780"/>
      <c r="AB134" s="777"/>
      <c r="AC134" s="777"/>
      <c r="AD134" s="777"/>
    </row>
    <row r="135" spans="1:30" ht="9" customHeight="1">
      <c r="A135" s="776"/>
      <c r="B135" s="776"/>
      <c r="C135" s="774"/>
      <c r="D135" s="774"/>
      <c r="E135" s="774"/>
      <c r="F135" s="774"/>
      <c r="G135" s="774"/>
      <c r="H135" s="821"/>
      <c r="I135" s="821"/>
      <c r="J135" s="821"/>
      <c r="K135" s="821"/>
      <c r="L135" s="821"/>
      <c r="M135" s="774"/>
      <c r="N135" s="820"/>
      <c r="O135" s="887"/>
      <c r="P135" s="887"/>
      <c r="Q135" s="887"/>
      <c r="R135" s="887"/>
      <c r="S135" s="774"/>
      <c r="T135" s="774"/>
      <c r="U135" s="774"/>
      <c r="V135" s="774"/>
      <c r="W135" s="774"/>
      <c r="X135" s="774"/>
      <c r="Y135" s="930"/>
      <c r="Z135" s="777"/>
      <c r="AA135" s="780"/>
      <c r="AB135" s="777"/>
      <c r="AC135" s="777"/>
      <c r="AD135" s="777"/>
    </row>
    <row r="136" spans="1:30" ht="9" customHeight="1">
      <c r="A136" s="776"/>
      <c r="B136" s="776"/>
      <c r="C136" s="774"/>
      <c r="D136" s="774"/>
      <c r="E136" s="774"/>
      <c r="F136" s="774"/>
      <c r="G136" s="774"/>
      <c r="H136" s="821"/>
      <c r="I136" s="821"/>
      <c r="J136" s="821"/>
      <c r="K136" s="821"/>
      <c r="L136" s="821"/>
      <c r="M136" s="774"/>
      <c r="N136" s="820"/>
      <c r="O136" s="887"/>
      <c r="P136" s="887"/>
      <c r="Q136" s="887"/>
      <c r="R136" s="887"/>
      <c r="S136" s="774"/>
      <c r="T136" s="774"/>
      <c r="U136" s="774"/>
      <c r="V136" s="774"/>
      <c r="W136" s="774"/>
      <c r="X136" s="774"/>
      <c r="Y136" s="930"/>
      <c r="Z136" s="777"/>
      <c r="AA136" s="780"/>
      <c r="AB136" s="777"/>
      <c r="AC136" s="777"/>
      <c r="AD136" s="777"/>
    </row>
    <row r="137" spans="1:30" ht="9" customHeight="1">
      <c r="A137" s="776"/>
      <c r="B137" s="776"/>
      <c r="C137" s="774"/>
      <c r="D137" s="774"/>
      <c r="E137" s="774"/>
      <c r="F137" s="774"/>
      <c r="G137" s="774"/>
      <c r="H137" s="821"/>
      <c r="I137" s="821"/>
      <c r="J137" s="821"/>
      <c r="K137" s="821"/>
      <c r="L137" s="821"/>
      <c r="M137" s="774"/>
      <c r="N137" s="820"/>
      <c r="O137" s="891"/>
      <c r="P137" s="891"/>
      <c r="Q137" s="891"/>
      <c r="R137" s="891"/>
      <c r="S137" s="774"/>
      <c r="T137" s="774"/>
      <c r="U137" s="774"/>
      <c r="V137" s="774"/>
      <c r="W137" s="774"/>
      <c r="X137" s="774"/>
      <c r="Y137" s="930"/>
      <c r="Z137" s="777"/>
      <c r="AA137" s="780"/>
      <c r="AB137" s="777"/>
      <c r="AC137" s="777"/>
      <c r="AD137" s="777"/>
    </row>
    <row r="138" spans="1:30" ht="9" customHeight="1">
      <c r="A138" s="776"/>
      <c r="B138" s="776"/>
      <c r="C138" s="774"/>
      <c r="D138" s="774"/>
      <c r="E138" s="774"/>
      <c r="F138" s="774"/>
      <c r="G138" s="774"/>
      <c r="H138" s="821"/>
      <c r="I138" s="821"/>
      <c r="J138" s="821"/>
      <c r="K138" s="821"/>
      <c r="L138" s="821"/>
      <c r="M138" s="774"/>
      <c r="N138" s="820"/>
      <c r="O138" s="888"/>
      <c r="P138" s="888"/>
      <c r="Q138" s="888"/>
      <c r="R138" s="888"/>
      <c r="S138" s="774"/>
      <c r="T138" s="774"/>
      <c r="U138" s="774"/>
      <c r="V138" s="774"/>
      <c r="W138" s="774"/>
      <c r="X138" s="774"/>
      <c r="Y138" s="930"/>
      <c r="Z138" s="777"/>
      <c r="AA138" s="780"/>
      <c r="AB138" s="777"/>
      <c r="AC138" s="777"/>
      <c r="AD138" s="777"/>
    </row>
    <row r="139" spans="1:30" ht="9" customHeight="1">
      <c r="A139" s="776"/>
      <c r="B139" s="776"/>
      <c r="C139" s="774"/>
      <c r="D139" s="774"/>
      <c r="E139" s="774"/>
      <c r="F139" s="774"/>
      <c r="G139" s="774"/>
      <c r="H139" s="821"/>
      <c r="I139" s="821"/>
      <c r="J139" s="821"/>
      <c r="K139" s="821"/>
      <c r="L139" s="821"/>
      <c r="M139" s="774"/>
      <c r="N139" s="820"/>
      <c r="O139" s="774"/>
      <c r="P139" s="774"/>
      <c r="Q139" s="774"/>
      <c r="R139" s="774"/>
      <c r="S139" s="774"/>
      <c r="T139" s="774"/>
      <c r="U139" s="774"/>
      <c r="V139" s="774"/>
      <c r="W139" s="774"/>
      <c r="X139" s="774"/>
      <c r="Y139" s="930"/>
      <c r="Z139" s="777"/>
      <c r="AA139" s="780"/>
      <c r="AB139" s="777"/>
      <c r="AC139" s="777"/>
      <c r="AD139" s="777"/>
    </row>
    <row r="140" spans="1:30" ht="9" customHeight="1">
      <c r="A140" s="776"/>
      <c r="B140" s="776"/>
      <c r="C140" s="774"/>
      <c r="D140" s="774"/>
      <c r="E140" s="774"/>
      <c r="F140" s="774"/>
      <c r="G140" s="774"/>
      <c r="H140" s="821"/>
      <c r="I140" s="821"/>
      <c r="J140" s="821"/>
      <c r="K140" s="821"/>
      <c r="L140" s="821"/>
      <c r="M140" s="774"/>
      <c r="N140" s="820"/>
      <c r="O140" s="774"/>
      <c r="P140" s="774"/>
      <c r="Q140" s="774"/>
      <c r="R140" s="774"/>
      <c r="S140" s="774"/>
      <c r="T140" s="774"/>
      <c r="U140" s="774"/>
      <c r="V140" s="774"/>
      <c r="W140" s="774"/>
      <c r="X140" s="774"/>
      <c r="Y140" s="930"/>
      <c r="Z140" s="777"/>
      <c r="AA140" s="780"/>
      <c r="AB140" s="777"/>
      <c r="AC140" s="777"/>
      <c r="AD140" s="777"/>
    </row>
    <row r="141" spans="1:30" ht="9" customHeight="1">
      <c r="A141" s="776"/>
      <c r="B141" s="776"/>
      <c r="C141" s="774"/>
      <c r="D141" s="774"/>
      <c r="E141" s="774"/>
      <c r="F141" s="774"/>
      <c r="G141" s="774"/>
      <c r="H141" s="821"/>
      <c r="I141" s="821"/>
      <c r="J141" s="821"/>
      <c r="K141" s="821"/>
      <c r="L141" s="821"/>
      <c r="M141" s="774"/>
      <c r="N141" s="820"/>
      <c r="O141" s="774"/>
      <c r="P141" s="774"/>
      <c r="Q141" s="774"/>
      <c r="R141" s="774"/>
      <c r="S141" s="774"/>
      <c r="T141" s="774"/>
      <c r="U141" s="774"/>
      <c r="V141" s="774"/>
      <c r="W141" s="774"/>
      <c r="X141" s="774"/>
      <c r="Y141" s="930"/>
      <c r="Z141" s="777"/>
      <c r="AA141" s="780"/>
      <c r="AB141" s="777"/>
      <c r="AC141" s="777"/>
      <c r="AD141" s="777"/>
    </row>
    <row r="142" spans="1:30" ht="9" customHeight="1">
      <c r="A142" s="776"/>
      <c r="B142" s="776"/>
      <c r="C142" s="774"/>
      <c r="D142" s="774"/>
      <c r="E142" s="774"/>
      <c r="F142" s="774"/>
      <c r="G142" s="774"/>
      <c r="H142" s="821"/>
      <c r="I142" s="821"/>
      <c r="J142" s="821"/>
      <c r="K142" s="821"/>
      <c r="L142" s="821"/>
      <c r="M142" s="774"/>
      <c r="N142" s="820"/>
      <c r="O142" s="774"/>
      <c r="P142" s="774"/>
      <c r="Q142" s="774"/>
      <c r="R142" s="774"/>
      <c r="S142" s="774"/>
      <c r="T142" s="774"/>
      <c r="U142" s="774"/>
      <c r="V142" s="774"/>
      <c r="W142" s="774"/>
      <c r="X142" s="774"/>
      <c r="Y142" s="930"/>
      <c r="Z142" s="777"/>
      <c r="AA142" s="780"/>
      <c r="AB142" s="777"/>
      <c r="AC142" s="777"/>
      <c r="AD142" s="777"/>
    </row>
    <row r="143" spans="1:30" ht="9" customHeight="1">
      <c r="A143" s="776"/>
      <c r="B143" s="776"/>
      <c r="C143" s="774"/>
      <c r="D143" s="774"/>
      <c r="E143" s="774"/>
      <c r="F143" s="774"/>
      <c r="G143" s="774"/>
      <c r="H143" s="821"/>
      <c r="I143" s="821"/>
      <c r="J143" s="821"/>
      <c r="K143" s="821"/>
      <c r="L143" s="821"/>
      <c r="M143" s="774"/>
      <c r="N143" s="820"/>
      <c r="O143" s="774"/>
      <c r="P143" s="774"/>
      <c r="Q143" s="774"/>
      <c r="R143" s="774"/>
      <c r="S143" s="774"/>
      <c r="T143" s="774"/>
      <c r="U143" s="774"/>
      <c r="V143" s="774"/>
      <c r="W143" s="774"/>
      <c r="X143" s="774"/>
      <c r="Y143" s="930"/>
      <c r="Z143" s="777"/>
      <c r="AA143" s="780"/>
      <c r="AB143" s="777"/>
      <c r="AC143" s="777"/>
      <c r="AD143" s="777"/>
    </row>
    <row r="144" spans="1:30" ht="9" customHeight="1">
      <c r="A144" s="776"/>
      <c r="B144" s="776"/>
      <c r="C144" s="774"/>
      <c r="D144" s="774"/>
      <c r="E144" s="774"/>
      <c r="F144" s="774"/>
      <c r="G144" s="774"/>
      <c r="H144" s="821"/>
      <c r="I144" s="821"/>
      <c r="J144" s="821"/>
      <c r="K144" s="821"/>
      <c r="L144" s="821"/>
      <c r="M144" s="774"/>
      <c r="N144" s="820"/>
      <c r="O144" s="774"/>
      <c r="P144" s="774"/>
      <c r="Q144" s="774"/>
      <c r="R144" s="774"/>
      <c r="S144" s="774"/>
      <c r="T144" s="774"/>
      <c r="U144" s="774"/>
      <c r="V144" s="774"/>
      <c r="W144" s="774"/>
      <c r="X144" s="774"/>
      <c r="Y144" s="930"/>
      <c r="Z144" s="777"/>
      <c r="AA144" s="780"/>
      <c r="AB144" s="777"/>
      <c r="AC144" s="777"/>
      <c r="AD144" s="777"/>
    </row>
    <row r="145" spans="1:30" ht="9" customHeight="1">
      <c r="A145" s="776"/>
      <c r="B145" s="776"/>
      <c r="C145" s="774"/>
      <c r="D145" s="774"/>
      <c r="E145" s="774"/>
      <c r="F145" s="774"/>
      <c r="G145" s="774"/>
      <c r="H145" s="821"/>
      <c r="I145" s="821"/>
      <c r="J145" s="821"/>
      <c r="K145" s="821"/>
      <c r="L145" s="821"/>
      <c r="M145" s="774"/>
      <c r="N145" s="820"/>
      <c r="O145" s="774"/>
      <c r="P145" s="774"/>
      <c r="Q145" s="774"/>
      <c r="R145" s="774"/>
      <c r="S145" s="774"/>
      <c r="T145" s="774"/>
      <c r="U145" s="774"/>
      <c r="V145" s="774"/>
      <c r="W145" s="774"/>
      <c r="X145" s="774"/>
      <c r="Y145" s="930"/>
      <c r="Z145" s="777"/>
      <c r="AA145" s="780"/>
      <c r="AB145" s="777"/>
      <c r="AC145" s="777"/>
      <c r="AD145" s="777"/>
    </row>
    <row r="146" spans="1:30" ht="9" customHeight="1">
      <c r="A146" s="776"/>
      <c r="B146" s="776"/>
      <c r="C146" s="774"/>
      <c r="D146" s="774"/>
      <c r="E146" s="774"/>
      <c r="F146" s="774"/>
      <c r="G146" s="774"/>
      <c r="H146" s="821"/>
      <c r="I146" s="821"/>
      <c r="J146" s="821"/>
      <c r="K146" s="821"/>
      <c r="L146" s="821"/>
      <c r="M146" s="774"/>
      <c r="N146" s="820"/>
      <c r="O146" s="774"/>
      <c r="P146" s="774"/>
      <c r="Q146" s="774"/>
      <c r="R146" s="774"/>
      <c r="S146" s="774"/>
      <c r="T146" s="774"/>
      <c r="U146" s="774"/>
      <c r="V146" s="774"/>
      <c r="W146" s="774"/>
      <c r="X146" s="774"/>
      <c r="Y146" s="930"/>
      <c r="Z146" s="777"/>
      <c r="AA146" s="780"/>
      <c r="AB146" s="777"/>
      <c r="AC146" s="777"/>
      <c r="AD146" s="777"/>
    </row>
    <row r="147" spans="1:30" ht="9" customHeight="1">
      <c r="A147" s="776"/>
      <c r="B147" s="776"/>
      <c r="C147" s="776"/>
      <c r="D147" s="776"/>
      <c r="E147" s="776"/>
      <c r="F147" s="776"/>
      <c r="G147" s="776"/>
      <c r="H147" s="776"/>
      <c r="I147" s="776"/>
      <c r="J147" s="776"/>
      <c r="K147" s="776"/>
      <c r="L147" s="776"/>
      <c r="M147" s="776"/>
      <c r="N147" s="776"/>
      <c r="O147" s="776"/>
      <c r="P147" s="776"/>
      <c r="Q147" s="776"/>
      <c r="R147" s="776"/>
      <c r="S147" s="776"/>
      <c r="T147" s="776"/>
      <c r="U147" s="776"/>
      <c r="V147" s="776"/>
      <c r="W147" s="776"/>
      <c r="X147" s="776"/>
      <c r="Y147" s="776"/>
      <c r="Z147" s="776"/>
      <c r="AA147" s="776"/>
      <c r="AB147" s="776"/>
      <c r="AC147" s="776"/>
      <c r="AD147" s="776"/>
    </row>
    <row r="148" spans="1:30" ht="90" customHeight="1">
      <c r="A148" s="776" t="s">
        <v>1706</v>
      </c>
      <c r="B148" s="776"/>
      <c r="C148" s="774" t="s">
        <v>2269</v>
      </c>
      <c r="D148" s="774" t="s">
        <v>1607</v>
      </c>
      <c r="E148" s="774" t="s">
        <v>1708</v>
      </c>
      <c r="F148" s="774" t="s">
        <v>2270</v>
      </c>
      <c r="G148" s="774"/>
      <c r="H148" s="774"/>
      <c r="I148" s="893"/>
      <c r="J148" s="893"/>
      <c r="K148" s="893"/>
      <c r="L148" s="893"/>
      <c r="M148" s="823" t="str">
        <f>IF(TEMPLATE_SPHERE="HEAT",T148,IF(TEMPLATE_SPHERE="TKO",X148,U148))</f>
        <v>Сведения об условиях публичных договоров регулируемых организаций,  сведения об условиях публичных договоров, заключаемых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в том числе</v>
      </c>
      <c r="N148" s="779"/>
      <c r="O148" s="774"/>
      <c r="P148" s="775"/>
      <c r="Q148" s="775"/>
      <c r="R148" s="775"/>
      <c r="S148" s="774"/>
      <c r="T148" s="774" t="s">
        <v>2271</v>
      </c>
      <c r="U148" s="775" t="str">
        <f>"Сведения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"&amp;TEMPLATE_SPHERE_RUS</f>
        <v>Сведения об условиях публичных договоров поставок товаров (оказания услуг), тарифы на которые подлежат регулированию, в том числе договоров о подключении (технологическом присоединении) к централизованной системе теплоснабжения</v>
      </c>
      <c r="V148" s="775"/>
      <c r="W148" s="775"/>
      <c r="X148" s="774" t="s">
        <v>2272</v>
      </c>
      <c r="Y148" s="930"/>
      <c r="Z148" s="777"/>
      <c r="AA148" s="780"/>
      <c r="AB148" s="777"/>
      <c r="AC148" s="777"/>
      <c r="AD148" s="777"/>
    </row>
    <row r="149" spans="1:30" ht="9" customHeight="1">
      <c r="A149" s="776"/>
      <c r="B149" s="776"/>
      <c r="C149" s="776"/>
      <c r="D149" s="776"/>
      <c r="E149" s="776"/>
      <c r="F149" s="776"/>
      <c r="G149" s="776"/>
      <c r="H149" s="776"/>
      <c r="I149" s="776"/>
      <c r="J149" s="776"/>
      <c r="K149" s="776"/>
      <c r="L149" s="776"/>
      <c r="M149" s="776"/>
      <c r="N149" s="776"/>
      <c r="O149" s="776"/>
      <c r="P149" s="776"/>
      <c r="Q149" s="776"/>
      <c r="R149" s="776"/>
      <c r="S149" s="776"/>
      <c r="T149" s="776"/>
      <c r="U149" s="776"/>
      <c r="V149" s="776"/>
      <c r="W149" s="776"/>
      <c r="X149" s="776"/>
      <c r="Y149" s="776"/>
      <c r="Z149" s="776"/>
      <c r="AA149" s="776"/>
      <c r="AB149" s="776"/>
      <c r="AC149" s="776"/>
      <c r="AD149" s="776"/>
    </row>
    <row r="150" spans="1:30" ht="9" customHeight="1">
      <c r="A150" s="776" t="s">
        <v>1710</v>
      </c>
      <c r="B150" s="776"/>
      <c r="C150" s="774"/>
      <c r="D150" s="774"/>
      <c r="E150" s="774"/>
      <c r="F150" s="774"/>
      <c r="G150" s="774"/>
      <c r="H150" s="774"/>
      <c r="I150" s="774"/>
      <c r="J150" s="774"/>
      <c r="K150" s="774"/>
      <c r="L150" s="774"/>
      <c r="M150" s="774"/>
      <c r="N150" s="774"/>
      <c r="O150" s="774"/>
      <c r="P150" s="774"/>
      <c r="Q150" s="774"/>
      <c r="R150" s="774"/>
      <c r="S150" s="774"/>
      <c r="T150" s="774"/>
      <c r="U150" s="774"/>
      <c r="V150" s="774"/>
      <c r="W150" s="774"/>
      <c r="X150" s="774"/>
      <c r="Y150" s="930"/>
      <c r="Z150" s="777"/>
      <c r="AA150" s="780"/>
      <c r="AB150" s="777"/>
      <c r="AC150" s="777"/>
      <c r="AD150" s="777"/>
    </row>
    <row r="151" spans="1:30" ht="9" customHeight="1">
      <c r="A151" s="776"/>
      <c r="B151" s="776"/>
      <c r="C151" s="776"/>
      <c r="D151" s="776"/>
      <c r="E151" s="776"/>
      <c r="F151" s="776"/>
      <c r="G151" s="776"/>
      <c r="H151" s="776"/>
      <c r="I151" s="776"/>
      <c r="J151" s="776"/>
      <c r="K151" s="776"/>
      <c r="L151" s="776"/>
      <c r="M151" s="776"/>
      <c r="N151" s="776"/>
      <c r="O151" s="776"/>
      <c r="P151" s="776"/>
      <c r="Q151" s="776"/>
      <c r="R151" s="776"/>
      <c r="S151" s="776"/>
      <c r="T151" s="776"/>
      <c r="U151" s="776"/>
      <c r="V151" s="776"/>
      <c r="W151" s="776"/>
      <c r="X151" s="776"/>
      <c r="Y151" s="776"/>
      <c r="Z151" s="776"/>
      <c r="AA151" s="776"/>
      <c r="AB151" s="776"/>
      <c r="AC151" s="776"/>
      <c r="AD151" s="776"/>
    </row>
    <row r="152" spans="1:30" ht="9" customHeight="1">
      <c r="A152" s="776" t="s">
        <v>1713</v>
      </c>
      <c r="B152" s="776"/>
      <c r="C152" s="774"/>
      <c r="D152" s="774"/>
      <c r="E152" s="774"/>
      <c r="F152" s="774"/>
      <c r="G152" s="774"/>
      <c r="H152" s="774"/>
      <c r="I152" s="774"/>
      <c r="J152" s="774"/>
      <c r="K152" s="774"/>
      <c r="L152" s="774"/>
      <c r="M152" s="774"/>
      <c r="N152" s="774"/>
      <c r="O152" s="774"/>
      <c r="P152" s="774"/>
      <c r="Q152" s="774"/>
      <c r="R152" s="774"/>
      <c r="S152" s="774"/>
      <c r="T152" s="774"/>
      <c r="U152" s="774"/>
      <c r="V152" s="774"/>
      <c r="W152" s="774"/>
      <c r="X152" s="774"/>
      <c r="Y152" s="930"/>
      <c r="Z152" s="777"/>
      <c r="AA152" s="780"/>
      <c r="AB152" s="777"/>
      <c r="AC152" s="777"/>
      <c r="AD152" s="777"/>
    </row>
    <row r="153" spans="1:30" ht="9" customHeight="1">
      <c r="A153" s="776"/>
      <c r="B153" s="776"/>
      <c r="C153" s="776"/>
      <c r="D153" s="776"/>
      <c r="E153" s="776"/>
      <c r="F153" s="776"/>
      <c r="G153" s="776"/>
      <c r="H153" s="776"/>
      <c r="I153" s="776"/>
      <c r="J153" s="776"/>
      <c r="K153" s="776"/>
      <c r="L153" s="776"/>
      <c r="M153" s="776"/>
      <c r="N153" s="776"/>
      <c r="O153" s="776"/>
      <c r="P153" s="776"/>
      <c r="Q153" s="776"/>
      <c r="R153" s="776"/>
      <c r="S153" s="776"/>
      <c r="T153" s="776"/>
      <c r="U153" s="776"/>
      <c r="V153" s="776"/>
      <c r="W153" s="776"/>
      <c r="X153" s="776"/>
      <c r="Y153" s="776"/>
      <c r="Z153" s="776"/>
      <c r="AA153" s="776"/>
      <c r="AB153" s="776"/>
      <c r="AC153" s="776"/>
      <c r="AD153" s="776"/>
    </row>
    <row r="154" spans="1:30" ht="9" customHeight="1">
      <c r="A154" s="776" t="s">
        <v>1717</v>
      </c>
      <c r="B154" s="776"/>
      <c r="C154" s="774"/>
      <c r="D154" s="774"/>
      <c r="E154" s="774"/>
      <c r="F154" s="774"/>
      <c r="G154" s="774"/>
      <c r="H154" s="774"/>
      <c r="I154" s="774"/>
      <c r="J154" s="774"/>
      <c r="K154" s="774"/>
      <c r="L154" s="774"/>
      <c r="M154" s="774"/>
      <c r="N154" s="774"/>
      <c r="O154" s="774"/>
      <c r="P154" s="774"/>
      <c r="Q154" s="774"/>
      <c r="R154" s="774"/>
      <c r="S154" s="774"/>
      <c r="T154" s="774"/>
      <c r="U154" s="774"/>
      <c r="V154" s="774"/>
      <c r="W154" s="774"/>
      <c r="X154" s="774"/>
      <c r="Y154" s="930"/>
      <c r="Z154" s="777"/>
      <c r="AA154" s="780"/>
      <c r="AB154" s="777"/>
      <c r="AC154" s="777"/>
      <c r="AD154" s="777"/>
    </row>
  </sheetData>
  <sheetProtection insertRows="0" deleteColumns="0" deleteRows="0" sort="0" autoFilter="0"/>
  <mergeCells count="12">
    <mergeCell ref="T1:X1"/>
    <mergeCell ref="Z1:AD1"/>
    <mergeCell ref="A11:A15"/>
    <mergeCell ref="H13:H14"/>
    <mergeCell ref="H15:H16"/>
    <mergeCell ref="C3:F3"/>
    <mergeCell ref="C11:C16"/>
    <mergeCell ref="D11:D16"/>
    <mergeCell ref="E11:E16"/>
    <mergeCell ref="F11:F16"/>
    <mergeCell ref="G11:G16"/>
    <mergeCell ref="O1:S1"/>
  </mergeCells>
  <pageMargins left="0.7" right="0.7" top="0.75" bottom="0.75" header="0.3" footer="0.3"/>
  <pageSetup paperSize="9" orientation="portrait"/>
  <headerFooter>
    <oddHeader>&amp;L&amp;C&amp;R</oddHeader>
    <oddFooter>&amp;L&amp;C&amp;R</oddFooter>
    <evenHeader>&amp;L&amp;C&amp;R</evenHeader>
    <evenFooter>&amp;L&amp;C&amp;R</evenFooter>
  </headerFooter>
  <legacyDrawing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6" tint="0.39997558519241921"/>
  </sheetPr>
  <dimension ref="A1:AD41"/>
  <sheetViews>
    <sheetView showGridLines="0" topLeftCell="I4" workbookViewId="0"/>
  </sheetViews>
  <sheetFormatPr defaultColWidth="10.5703125" defaultRowHeight="14.25" customHeight="1"/>
  <cols>
    <col min="1" max="1" width="10.5703125" style="1293" hidden="1"/>
    <col min="2" max="2" width="11" style="1293" hidden="1" customWidth="1"/>
    <col min="3" max="3" width="10.5703125" style="1293" hidden="1"/>
    <col min="4" max="4" width="11.85546875" style="1293" hidden="1" customWidth="1"/>
    <col min="5" max="5" width="12.28515625" style="1293" hidden="1" customWidth="1"/>
    <col min="6" max="8" width="12.28515625" style="1702" hidden="1" customWidth="1"/>
    <col min="9" max="9" width="3" style="2007" customWidth="1"/>
    <col min="10" max="11" width="3" style="282" customWidth="1"/>
    <col min="12" max="12" width="12" style="2008" customWidth="1"/>
    <col min="13" max="13" width="31" style="1562" customWidth="1"/>
    <col min="14" max="14" width="1" style="1562" customWidth="1"/>
    <col min="15" max="18" width="24" style="1562" customWidth="1"/>
    <col min="19" max="19" width="11" style="1562" customWidth="1"/>
    <col min="20" max="20" width="3.7109375" style="1562" customWidth="1"/>
    <col min="21" max="21" width="11" style="1562" customWidth="1"/>
    <col min="22" max="22" width="8.5703125" style="1562" customWidth="1"/>
    <col min="23" max="23" width="4" style="1562" customWidth="1"/>
    <col min="24" max="24" width="115" style="1562" customWidth="1"/>
    <col min="25" max="29" width="10" style="1569" customWidth="1"/>
    <col min="30" max="30" width="10.5703125" style="1562" hidden="1"/>
  </cols>
  <sheetData>
    <row r="1" spans="1:30" ht="22.5" hidden="1" customHeight="1">
      <c r="R1" s="265"/>
      <c r="S1" s="265"/>
      <c r="AD1" s="1082" t="s">
        <v>14</v>
      </c>
    </row>
    <row r="2" spans="1:30" ht="14.25" hidden="1" customHeight="1">
      <c r="V2" s="265"/>
      <c r="AD2" s="1082">
        <v>0</v>
      </c>
    </row>
    <row r="3" spans="1:30" ht="14.25" hidden="1" customHeight="1">
      <c r="AD3" s="1082">
        <v>0</v>
      </c>
    </row>
    <row r="4" spans="1:30" ht="15" customHeight="1">
      <c r="J4" s="313"/>
      <c r="K4" s="313"/>
      <c r="L4" s="1202"/>
      <c r="M4" s="300"/>
      <c r="N4" s="300"/>
      <c r="O4" s="446"/>
      <c r="P4" s="446"/>
      <c r="Q4" s="446"/>
      <c r="R4" s="446"/>
      <c r="S4" s="446"/>
      <c r="T4" s="446"/>
      <c r="U4" s="446"/>
      <c r="V4" s="446"/>
      <c r="AD4" s="1082">
        <v>14</v>
      </c>
    </row>
    <row r="5" spans="1:30" ht="67.5" customHeight="1">
      <c r="J5" s="313"/>
      <c r="K5" s="313"/>
      <c r="L5" s="3173" t="s">
        <v>2273</v>
      </c>
      <c r="M5" s="3173"/>
      <c r="N5" s="3173"/>
      <c r="O5" s="3173"/>
      <c r="P5" s="3173"/>
      <c r="Q5" s="3173"/>
      <c r="R5" s="3173"/>
      <c r="S5" s="3173"/>
      <c r="T5" s="3173"/>
      <c r="U5" s="3173"/>
      <c r="V5" s="1170"/>
      <c r="AD5" s="1082">
        <v>64</v>
      </c>
    </row>
    <row r="6" spans="1:30" ht="15" customHeight="1">
      <c r="J6" s="313"/>
      <c r="K6" s="313"/>
      <c r="L6" s="3174" t="str">
        <f>IF(org=0,"Не определено",org)</f>
        <v>ТМУП "ТТС"</v>
      </c>
      <c r="M6" s="3174"/>
      <c r="N6" s="3174"/>
      <c r="O6" s="3174"/>
      <c r="P6" s="3174"/>
      <c r="Q6" s="3174"/>
      <c r="R6" s="3174"/>
      <c r="S6" s="3174"/>
      <c r="T6" s="3174"/>
      <c r="U6" s="3174"/>
      <c r="V6" s="1170"/>
      <c r="AD6" s="1082">
        <v>14</v>
      </c>
    </row>
    <row r="7" spans="1:30" ht="15" customHeight="1">
      <c r="J7" s="313"/>
      <c r="K7" s="313"/>
      <c r="L7" s="1202"/>
      <c r="M7" s="300"/>
      <c r="N7" s="300"/>
      <c r="O7" s="260"/>
      <c r="P7" s="260"/>
      <c r="Q7" s="260"/>
      <c r="R7" s="260"/>
      <c r="S7" s="260"/>
      <c r="T7" s="260"/>
      <c r="U7" s="260"/>
      <c r="V7" s="260"/>
      <c r="W7" s="446"/>
      <c r="AD7" s="1082">
        <v>14</v>
      </c>
    </row>
    <row r="8" spans="1:30" s="1778" customFormat="1" ht="48" customHeight="1">
      <c r="A8" s="1295"/>
      <c r="B8" s="1295"/>
      <c r="C8" s="1295"/>
      <c r="D8" s="1295"/>
      <c r="E8" s="1295"/>
      <c r="F8" s="1295"/>
      <c r="G8" s="1295"/>
      <c r="H8" s="1295"/>
      <c r="L8" s="1203"/>
      <c r="M8" s="233" t="s">
        <v>46</v>
      </c>
      <c r="N8" s="242"/>
      <c r="O8" s="2889" t="str">
        <f>IF(TITLE_NAME_OR_PR_CHANGE="",IF(TITLE_NAME_OR_PR="","",TITLE_NAME_OR_PR),TITLE_NAME_OR_PR_CHANGE)</f>
        <v/>
      </c>
      <c r="P8" s="2889"/>
      <c r="Q8" s="2889"/>
      <c r="R8" s="2889"/>
      <c r="S8" s="2889"/>
      <c r="T8" s="2889"/>
      <c r="U8" s="2889"/>
      <c r="V8" s="264"/>
      <c r="W8" s="264"/>
      <c r="X8" s="218"/>
      <c r="Y8" s="305"/>
      <c r="Z8" s="305"/>
      <c r="AA8" s="305"/>
      <c r="AB8" s="305"/>
      <c r="AC8" s="305"/>
      <c r="AD8" s="355">
        <v>46</v>
      </c>
    </row>
    <row r="9" spans="1:30" s="1778" customFormat="1" ht="24" customHeight="1">
      <c r="A9" s="1295"/>
      <c r="B9" s="1295"/>
      <c r="C9" s="1295"/>
      <c r="D9" s="1295"/>
      <c r="E9" s="1295"/>
      <c r="F9" s="1295"/>
      <c r="G9" s="1295"/>
      <c r="H9" s="1295"/>
      <c r="L9" s="1203"/>
      <c r="M9" s="233" t="s">
        <v>465</v>
      </c>
      <c r="N9" s="242"/>
      <c r="O9" s="2889" t="str">
        <f>IF(TITLE_DATE_CHANGE_PERIOD="",IF(TITLE_DATE_PR="","",TITLE_DATE_PR),TITLE_DATE_CHANGE_PERIOD)</f>
        <v>01.01.2025</v>
      </c>
      <c r="P9" s="2889"/>
      <c r="Q9" s="2889"/>
      <c r="R9" s="2889"/>
      <c r="S9" s="2889"/>
      <c r="T9" s="2889"/>
      <c r="U9" s="2889"/>
      <c r="V9" s="264"/>
      <c r="W9" s="264"/>
      <c r="X9" s="218"/>
      <c r="Y9" s="305"/>
      <c r="Z9" s="305"/>
      <c r="AA9" s="305"/>
      <c r="AB9" s="305"/>
      <c r="AC9" s="305"/>
      <c r="AD9" s="355">
        <v>23</v>
      </c>
    </row>
    <row r="10" spans="1:30" s="1778" customFormat="1" ht="24" customHeight="1">
      <c r="A10" s="1295"/>
      <c r="B10" s="1295"/>
      <c r="C10" s="1295"/>
      <c r="D10" s="1295"/>
      <c r="E10" s="1295"/>
      <c r="F10" s="1295"/>
      <c r="G10" s="1295"/>
      <c r="H10" s="1295"/>
      <c r="L10" s="1177"/>
      <c r="M10" s="233" t="s">
        <v>466</v>
      </c>
      <c r="N10" s="242"/>
      <c r="O10" s="2889" t="str">
        <f>IF(TITLE_NUMBER_PR_CHANGE="",IF(TITLE_NUMBER_PR="","",TITLE_NUMBER_PR),TITLE_NUMBER_PR_CHANGE)</f>
        <v>947 от 12.11.2024</v>
      </c>
      <c r="P10" s="2889"/>
      <c r="Q10" s="2889"/>
      <c r="R10" s="2889"/>
      <c r="S10" s="2889"/>
      <c r="T10" s="2889"/>
      <c r="U10" s="2889"/>
      <c r="V10" s="264"/>
      <c r="W10" s="264"/>
      <c r="X10" s="218"/>
      <c r="Y10" s="305"/>
      <c r="Z10" s="305"/>
      <c r="AA10" s="305"/>
      <c r="AB10" s="305"/>
      <c r="AC10" s="305"/>
      <c r="AD10" s="355">
        <v>23</v>
      </c>
    </row>
    <row r="11" spans="1:30" s="1778" customFormat="1" ht="24" customHeight="1">
      <c r="A11" s="1295"/>
      <c r="B11" s="1295"/>
      <c r="C11" s="1295"/>
      <c r="D11" s="1295"/>
      <c r="E11" s="1295"/>
      <c r="F11" s="1295"/>
      <c r="G11" s="1295"/>
      <c r="H11" s="1295"/>
      <c r="L11" s="1177"/>
      <c r="M11" s="233" t="s">
        <v>47</v>
      </c>
      <c r="N11" s="242"/>
      <c r="O11" s="2889" t="str">
        <f>IF(TITLE_IST_PUB_CHANGE="",IF(TITLE_IST_PUB="","",TITLE_IST_PUB),TITLE_IST_PUB_CHANGE)</f>
        <v/>
      </c>
      <c r="P11" s="2889"/>
      <c r="Q11" s="2889"/>
      <c r="R11" s="2889"/>
      <c r="S11" s="2889"/>
      <c r="T11" s="2889"/>
      <c r="U11" s="2889"/>
      <c r="V11" s="264"/>
      <c r="W11" s="264"/>
      <c r="X11" s="218"/>
      <c r="Y11" s="305"/>
      <c r="Z11" s="305"/>
      <c r="AA11" s="305"/>
      <c r="AB11" s="305"/>
      <c r="AC11" s="305"/>
      <c r="AD11" s="355">
        <v>23</v>
      </c>
    </row>
    <row r="12" spans="1:30" s="1778" customFormat="1" ht="11.25" hidden="1" customHeight="1">
      <c r="A12" s="1295"/>
      <c r="B12" s="1295"/>
      <c r="C12" s="1295"/>
      <c r="D12" s="1295"/>
      <c r="E12" s="1295"/>
      <c r="F12" s="1295"/>
      <c r="G12" s="1295"/>
      <c r="H12" s="1295"/>
      <c r="L12" s="3172"/>
      <c r="M12" s="3172"/>
      <c r="N12" s="1214"/>
      <c r="O12" s="264"/>
      <c r="P12" s="264"/>
      <c r="Q12" s="264"/>
      <c r="R12" s="264"/>
      <c r="S12" s="264"/>
      <c r="T12" s="264"/>
      <c r="U12" s="264"/>
      <c r="V12" s="216" t="s">
        <v>469</v>
      </c>
      <c r="Y12" s="305"/>
      <c r="Z12" s="305"/>
      <c r="AA12" s="305"/>
      <c r="AB12" s="305"/>
      <c r="AC12" s="305"/>
      <c r="AD12" s="355">
        <v>0</v>
      </c>
    </row>
    <row r="13" spans="1:30" ht="15" customHeight="1">
      <c r="J13" s="313"/>
      <c r="K13" s="313"/>
      <c r="L13" s="1202"/>
      <c r="M13" s="300"/>
      <c r="N13" s="1171"/>
      <c r="O13" s="2908"/>
      <c r="P13" s="2908"/>
      <c r="Q13" s="2908"/>
      <c r="R13" s="2908"/>
      <c r="S13" s="2908"/>
      <c r="T13" s="2908"/>
      <c r="U13" s="2908"/>
      <c r="V13" s="2908"/>
      <c r="AD13" s="1082">
        <v>14</v>
      </c>
    </row>
    <row r="14" spans="1:30" ht="15" customHeight="1">
      <c r="J14" s="313"/>
      <c r="K14" s="313"/>
      <c r="L14" s="2758" t="s">
        <v>345</v>
      </c>
      <c r="M14" s="2758"/>
      <c r="N14" s="2758"/>
      <c r="O14" s="2758"/>
      <c r="P14" s="2758"/>
      <c r="Q14" s="2758"/>
      <c r="R14" s="2758"/>
      <c r="S14" s="2758"/>
      <c r="T14" s="2758"/>
      <c r="U14" s="2758"/>
      <c r="V14" s="2758"/>
      <c r="W14" s="2758"/>
      <c r="X14" s="2758" t="s">
        <v>346</v>
      </c>
      <c r="AD14" s="1082">
        <v>14</v>
      </c>
    </row>
    <row r="15" spans="1:30" ht="15" customHeight="1">
      <c r="J15" s="313"/>
      <c r="K15" s="313"/>
      <c r="L15" s="2909" t="s">
        <v>93</v>
      </c>
      <c r="M15" s="2857" t="s">
        <v>470</v>
      </c>
      <c r="N15" s="239"/>
      <c r="O15" s="2910" t="s">
        <v>2274</v>
      </c>
      <c r="P15" s="2911"/>
      <c r="Q15" s="2911"/>
      <c r="R15" s="2911"/>
      <c r="S15" s="2911"/>
      <c r="T15" s="2911"/>
      <c r="U15" s="2912"/>
      <c r="V15" s="2913" t="s">
        <v>472</v>
      </c>
      <c r="W15" s="2916" t="s">
        <v>1190</v>
      </c>
      <c r="X15" s="2758"/>
      <c r="AD15" s="1082">
        <v>14</v>
      </c>
    </row>
    <row r="16" spans="1:30" ht="36" customHeight="1">
      <c r="J16" s="313"/>
      <c r="K16" s="313"/>
      <c r="L16" s="2909"/>
      <c r="M16" s="2857"/>
      <c r="N16" s="961"/>
      <c r="O16" s="2829" t="s">
        <v>475</v>
      </c>
      <c r="P16" s="2829" t="s">
        <v>476</v>
      </c>
      <c r="Q16" s="2740" t="s">
        <v>477</v>
      </c>
      <c r="R16" s="2739"/>
      <c r="S16" s="2740" t="s">
        <v>490</v>
      </c>
      <c r="T16" s="2745"/>
      <c r="U16" s="2739"/>
      <c r="V16" s="2914"/>
      <c r="W16" s="2917"/>
      <c r="X16" s="2758"/>
      <c r="AD16" s="1082">
        <v>34</v>
      </c>
    </row>
    <row r="17" spans="1:30" ht="36" customHeight="1">
      <c r="A17" s="1297" t="s">
        <v>139</v>
      </c>
      <c r="B17" s="1297" t="s">
        <v>140</v>
      </c>
      <c r="C17" s="1297" t="s">
        <v>141</v>
      </c>
      <c r="D17" s="1297" t="s">
        <v>142</v>
      </c>
      <c r="E17" s="1297"/>
      <c r="J17" s="313"/>
      <c r="K17" s="313"/>
      <c r="L17" s="2909"/>
      <c r="M17" s="2857"/>
      <c r="N17" s="240"/>
      <c r="O17" s="2882"/>
      <c r="P17" s="2882"/>
      <c r="Q17" s="1149" t="s">
        <v>486</v>
      </c>
      <c r="R17" s="1149" t="s">
        <v>487</v>
      </c>
      <c r="S17" s="1219" t="s">
        <v>488</v>
      </c>
      <c r="T17" s="2862" t="s">
        <v>489</v>
      </c>
      <c r="U17" s="2876"/>
      <c r="V17" s="2915"/>
      <c r="W17" s="2918"/>
      <c r="X17" s="2758"/>
      <c r="AD17" s="1082">
        <v>34</v>
      </c>
    </row>
    <row r="18" spans="1:30" s="1568" customFormat="1" ht="11.25" customHeight="1">
      <c r="A18" s="1297"/>
      <c r="B18" s="1297"/>
      <c r="C18" s="1297"/>
      <c r="D18" s="1297"/>
      <c r="E18" s="1297"/>
      <c r="F18" s="1289"/>
      <c r="G18" s="1289"/>
      <c r="H18" s="1289"/>
      <c r="I18" s="1173"/>
      <c r="J18" s="1174"/>
      <c r="K18" s="1181">
        <v>1</v>
      </c>
      <c r="L18" s="1204" t="s">
        <v>114</v>
      </c>
      <c r="M18" s="1182" t="s">
        <v>115</v>
      </c>
      <c r="N18" s="1172" t="str">
        <f ca="1">OFFSET(N18,0,-1)</f>
        <v>2</v>
      </c>
      <c r="O18" s="1216">
        <f ca="1">OFFSET(O18,0,-1)+1</f>
        <v>3</v>
      </c>
      <c r="P18" s="1216"/>
      <c r="Q18" s="1216">
        <f ca="1">OFFSET(Q18,0,-1)+1</f>
        <v>1</v>
      </c>
      <c r="R18" s="1216">
        <f ca="1">OFFSET(R18,0,-1)+1</f>
        <v>2</v>
      </c>
      <c r="S18" s="1216">
        <f ca="1">OFFSET(S18,0,-1)+1</f>
        <v>3</v>
      </c>
      <c r="T18" s="2907">
        <f ca="1">OFFSET(T18,0,-1)+1</f>
        <v>4</v>
      </c>
      <c r="U18" s="2907"/>
      <c r="V18" s="1216">
        <f ca="1">OFFSET(V18,0,-2)+1</f>
        <v>5</v>
      </c>
      <c r="W18" s="1172">
        <f ca="1">OFFSET(W18,0,-1)</f>
        <v>5</v>
      </c>
      <c r="X18" s="1216">
        <f ca="1">OFFSET(X18,0,-1)+1</f>
        <v>6</v>
      </c>
      <c r="Y18" s="448"/>
      <c r="Z18" s="448"/>
      <c r="AA18" s="448"/>
      <c r="AB18" s="448"/>
      <c r="AC18" s="448"/>
      <c r="AD18" s="433">
        <v>11</v>
      </c>
    </row>
    <row r="19" spans="1:30" ht="21" customHeight="1">
      <c r="A19" s="1290" t="s">
        <v>215</v>
      </c>
      <c r="B19" s="1290" t="s">
        <v>216</v>
      </c>
      <c r="C19" s="1290" t="s">
        <v>217</v>
      </c>
      <c r="D19" s="1290" t="s">
        <v>218</v>
      </c>
      <c r="E19" s="1290"/>
      <c r="F19" s="1292"/>
      <c r="G19" s="1292"/>
      <c r="H19" s="1292"/>
      <c r="I19" s="298"/>
      <c r="J19" s="297"/>
      <c r="K19" s="292"/>
      <c r="L19" s="1220">
        <f>INDEX(PT_DIFFERENTIATION_NUM_NTAR,MATCH(A19,PT_DIFFERENTIATION_NTAR_ID,0))</f>
        <v>0</v>
      </c>
      <c r="M19" s="236" t="s">
        <v>128</v>
      </c>
      <c r="N19" s="238"/>
      <c r="O19" s="3171" t="str">
        <f>INDEX(PT_DIFFERENTIATION_NTAR,MATCH(A19,PT_DIFFERENTIATION_NTAR_ID,0))</f>
        <v/>
      </c>
      <c r="P19" s="3171"/>
      <c r="Q19" s="3171"/>
      <c r="R19" s="3171"/>
      <c r="S19" s="3171"/>
      <c r="T19" s="3171"/>
      <c r="U19" s="3171"/>
      <c r="V19" s="3171"/>
      <c r="W19" s="3171"/>
      <c r="X19" s="1185" t="s">
        <v>441</v>
      </c>
      <c r="Z19" s="437"/>
      <c r="AA19" s="437" t="str">
        <f t="shared" ref="AA19:AA32" si="0">IF(M19="","",M19)</f>
        <v>Наименование тарифа</v>
      </c>
      <c r="AB19" s="437"/>
      <c r="AC19" s="437"/>
      <c r="AD19" s="1082">
        <v>20</v>
      </c>
    </row>
    <row r="20" spans="1:30" ht="21" customHeight="1">
      <c r="A20" s="1290" t="s">
        <v>215</v>
      </c>
      <c r="B20" s="1290" t="s">
        <v>216</v>
      </c>
      <c r="C20" s="1290" t="s">
        <v>217</v>
      </c>
      <c r="D20" s="1290" t="s">
        <v>218</v>
      </c>
      <c r="E20" s="1290"/>
      <c r="F20" s="1292"/>
      <c r="G20" s="1292"/>
      <c r="H20" s="1292"/>
      <c r="I20" s="1217"/>
      <c r="J20" s="289"/>
      <c r="K20" s="290"/>
      <c r="L20" s="1220" t="str">
        <f>INDEX(PT_DIFFERENTIATION_NUM_TER,MATCH(B19,PT_DIFFERENTIATION_TER_ID,0))</f>
        <v>.</v>
      </c>
      <c r="M20" s="246" t="s">
        <v>442</v>
      </c>
      <c r="N20" s="238"/>
      <c r="O20" s="3171" t="str">
        <f>INDEX(PT_DIFFERENTIATION_TER,MATCH(B19,PT_DIFFERENTIATION_TER_ID,0))</f>
        <v/>
      </c>
      <c r="P20" s="3171"/>
      <c r="Q20" s="3171"/>
      <c r="R20" s="3171"/>
      <c r="S20" s="3171"/>
      <c r="T20" s="3171"/>
      <c r="U20" s="3171"/>
      <c r="V20" s="3171"/>
      <c r="W20" s="3171"/>
      <c r="X20" s="1185" t="s">
        <v>443</v>
      </c>
      <c r="Z20" s="437"/>
      <c r="AA20" s="437" t="str">
        <f t="shared" si="0"/>
        <v>Территория действия тарифа</v>
      </c>
      <c r="AB20" s="437"/>
      <c r="AC20" s="437"/>
      <c r="AD20" s="1082">
        <v>20</v>
      </c>
    </row>
    <row r="21" spans="1:30" ht="24" customHeight="1">
      <c r="A21" s="1290" t="s">
        <v>215</v>
      </c>
      <c r="B21" s="1290" t="s">
        <v>216</v>
      </c>
      <c r="C21" s="1290" t="s">
        <v>217</v>
      </c>
      <c r="D21" s="1290" t="s">
        <v>218</v>
      </c>
      <c r="E21" s="1290"/>
      <c r="F21" s="1292"/>
      <c r="G21" s="1292"/>
      <c r="H21" s="1292"/>
      <c r="I21" s="291"/>
      <c r="J21" s="289"/>
      <c r="K21" s="290"/>
      <c r="L21" s="1220" t="str">
        <f>INDEX(PT_DIFFERENTIATION_NUM_CS,MATCH(C19,PT_DIFFERENTIATION_CS_ID,0))</f>
        <v>..</v>
      </c>
      <c r="M21" s="247" t="s">
        <v>444</v>
      </c>
      <c r="N21" s="238"/>
      <c r="O21" s="3171" t="str">
        <f>INDEX(PT_DIFFERENTIATION_CS,MATCH(C19,PT_DIFFERENTIATION_CS_ID,0))</f>
        <v/>
      </c>
      <c r="P21" s="3171"/>
      <c r="Q21" s="3171"/>
      <c r="R21" s="3171"/>
      <c r="S21" s="3171"/>
      <c r="T21" s="3171"/>
      <c r="U21" s="3171"/>
      <c r="V21" s="3171"/>
      <c r="W21" s="3171"/>
      <c r="X21" s="1185" t="s">
        <v>445</v>
      </c>
      <c r="Z21" s="437"/>
      <c r="AA21" s="437" t="str">
        <f t="shared" si="0"/>
        <v xml:space="preserve">Наименование системы теплоснабжения </v>
      </c>
      <c r="AB21" s="437"/>
      <c r="AC21" s="437"/>
      <c r="AD21" s="1082">
        <v>23</v>
      </c>
    </row>
    <row r="22" spans="1:30" ht="21" customHeight="1">
      <c r="A22" s="1290" t="s">
        <v>215</v>
      </c>
      <c r="B22" s="1290" t="s">
        <v>216</v>
      </c>
      <c r="C22" s="1290" t="s">
        <v>217</v>
      </c>
      <c r="D22" s="1290" t="s">
        <v>218</v>
      </c>
      <c r="E22" s="1290"/>
      <c r="F22" s="1292"/>
      <c r="G22" s="1292"/>
      <c r="H22" s="1292"/>
      <c r="I22" s="291"/>
      <c r="J22" s="289"/>
      <c r="K22" s="290"/>
      <c r="L22" s="1220" t="str">
        <f>INDEX(PT_DIFFERENTIATION_NUM_IST_TE,MATCH(D19,PT_DIFFERENTIATION_IST_TE_ID,0))</f>
        <v>...</v>
      </c>
      <c r="M22" s="248" t="s">
        <v>446</v>
      </c>
      <c r="N22" s="238"/>
      <c r="O22" s="3171" t="str">
        <f>INDEX(PT_DIFFERENTIATION_IST_TE,MATCH(D19,PT_DIFFERENTIATION_IST_TE_ID,0))</f>
        <v/>
      </c>
      <c r="P22" s="3171"/>
      <c r="Q22" s="3171"/>
      <c r="R22" s="3171"/>
      <c r="S22" s="3171"/>
      <c r="T22" s="3171"/>
      <c r="U22" s="3171"/>
      <c r="V22" s="3171"/>
      <c r="W22" s="3171"/>
      <c r="X22" s="1185" t="s">
        <v>447</v>
      </c>
      <c r="Z22" s="437"/>
      <c r="AA22" s="437" t="str">
        <f t="shared" si="0"/>
        <v xml:space="preserve">Источник тепловой энергии  </v>
      </c>
      <c r="AB22" s="437"/>
      <c r="AC22" s="437"/>
      <c r="AD22" s="1082">
        <v>20</v>
      </c>
    </row>
    <row r="23" spans="1:30" ht="96.75" customHeight="1">
      <c r="A23" s="1290" t="s">
        <v>215</v>
      </c>
      <c r="B23" s="1290" t="s">
        <v>216</v>
      </c>
      <c r="C23" s="1290" t="s">
        <v>217</v>
      </c>
      <c r="D23" s="1290" t="s">
        <v>218</v>
      </c>
      <c r="E23" s="1290"/>
      <c r="F23" s="2874" t="str">
        <f>L22&amp;".1"</f>
        <v>....1</v>
      </c>
      <c r="I23" s="2900">
        <v>1</v>
      </c>
      <c r="J23" s="1218"/>
      <c r="K23" s="293"/>
      <c r="L23" s="1220" t="str">
        <f>$F$23</f>
        <v>....1</v>
      </c>
      <c r="M23" s="223" t="s">
        <v>449</v>
      </c>
      <c r="N23" s="238"/>
      <c r="O23" s="2931"/>
      <c r="P23" s="2931"/>
      <c r="Q23" s="2931"/>
      <c r="R23" s="2931"/>
      <c r="S23" s="2931"/>
      <c r="T23" s="2931"/>
      <c r="U23" s="2931"/>
      <c r="V23" s="2931"/>
      <c r="W23" s="2931"/>
      <c r="X23" s="1185" t="s">
        <v>450</v>
      </c>
      <c r="Z23" s="437"/>
      <c r="AA23" s="437" t="str">
        <f t="shared" si="0"/>
        <v>Схема подключения теплопотребляющей установки к коллектору источника тепловой энергии</v>
      </c>
      <c r="AB23" s="437"/>
      <c r="AC23" s="437"/>
      <c r="AD23" s="1082">
        <v>92</v>
      </c>
    </row>
    <row r="24" spans="1:30" ht="86.25" customHeight="1">
      <c r="A24" s="1290" t="s">
        <v>215</v>
      </c>
      <c r="B24" s="1290" t="s">
        <v>216</v>
      </c>
      <c r="C24" s="1290" t="s">
        <v>217</v>
      </c>
      <c r="D24" s="1290" t="s">
        <v>218</v>
      </c>
      <c r="E24" s="1290"/>
      <c r="F24" s="2874"/>
      <c r="G24" s="2874" t="str">
        <f>F23&amp;".1"</f>
        <v>....1.1</v>
      </c>
      <c r="I24" s="2900"/>
      <c r="J24" s="2900">
        <v>1</v>
      </c>
      <c r="K24" s="294"/>
      <c r="L24" s="1220" t="str">
        <f>$G$24</f>
        <v>....1.1</v>
      </c>
      <c r="M24" s="224" t="s">
        <v>452</v>
      </c>
      <c r="N24" s="238"/>
      <c r="O24" s="2884"/>
      <c r="P24" s="2885"/>
      <c r="Q24" s="2885"/>
      <c r="R24" s="2885"/>
      <c r="S24" s="2885"/>
      <c r="T24" s="2885"/>
      <c r="U24" s="2885"/>
      <c r="V24" s="2885"/>
      <c r="W24" s="2886"/>
      <c r="X24" s="1185" t="s">
        <v>453</v>
      </c>
      <c r="Z24" s="437"/>
      <c r="AA24" s="437" t="str">
        <f t="shared" si="0"/>
        <v>Группа потребителей</v>
      </c>
      <c r="AB24" s="437"/>
      <c r="AC24" s="437"/>
      <c r="AD24" s="1082">
        <v>82</v>
      </c>
    </row>
    <row r="25" spans="1:30" ht="11.25" customHeight="1">
      <c r="A25" s="1290" t="s">
        <v>215</v>
      </c>
      <c r="B25" s="1290" t="s">
        <v>216</v>
      </c>
      <c r="C25" s="1290" t="s">
        <v>217</v>
      </c>
      <c r="D25" s="1290" t="s">
        <v>218</v>
      </c>
      <c r="E25" s="1290"/>
      <c r="F25" s="2874"/>
      <c r="G25" s="2874"/>
      <c r="H25" s="2874" t="str">
        <f>G24&amp;".1"</f>
        <v>....1.1.1</v>
      </c>
      <c r="I25" s="2900"/>
      <c r="J25" s="2900"/>
      <c r="K25" s="294">
        <v>1</v>
      </c>
      <c r="L25" s="1220" t="str">
        <f>$H$25</f>
        <v>....1.1.1</v>
      </c>
      <c r="M25" s="1274"/>
      <c r="N25" s="238"/>
      <c r="O25" s="688"/>
      <c r="P25" s="263"/>
      <c r="Q25" s="688"/>
      <c r="R25" s="1184"/>
      <c r="S25" s="2901"/>
      <c r="T25" s="2768" t="s">
        <v>71</v>
      </c>
      <c r="U25" s="2901"/>
      <c r="V25" s="2768" t="s">
        <v>19</v>
      </c>
      <c r="W25" s="263"/>
      <c r="X25" s="2919" t="s">
        <v>455</v>
      </c>
      <c r="Y25" s="448" t="e">
        <f ca="1">STRCHECKDATE(O26:W26)</f>
        <v>#NAME?</v>
      </c>
      <c r="Z25" s="437"/>
      <c r="AA25" s="437" t="str">
        <f t="shared" si="0"/>
        <v/>
      </c>
      <c r="AB25" s="437"/>
      <c r="AC25" s="437"/>
      <c r="AD25" s="1082">
        <v>11</v>
      </c>
    </row>
    <row r="26" spans="1:30" ht="11.25" customHeight="1">
      <c r="A26" s="1290" t="s">
        <v>215</v>
      </c>
      <c r="B26" s="1290" t="s">
        <v>216</v>
      </c>
      <c r="C26" s="1290" t="s">
        <v>217</v>
      </c>
      <c r="D26" s="1290" t="s">
        <v>218</v>
      </c>
      <c r="E26" s="1290"/>
      <c r="F26" s="2874"/>
      <c r="G26" s="2874"/>
      <c r="H26" s="2874"/>
      <c r="I26" s="2900"/>
      <c r="J26" s="2900"/>
      <c r="K26" s="294"/>
      <c r="L26" s="1221"/>
      <c r="M26" s="238"/>
      <c r="N26" s="238"/>
      <c r="O26" s="263"/>
      <c r="P26" s="263"/>
      <c r="Q26" s="263"/>
      <c r="R26" s="266" t="str">
        <f>S25&amp;"-"&amp;U25</f>
        <v>-</v>
      </c>
      <c r="S26" s="2902"/>
      <c r="T26" s="2768"/>
      <c r="U26" s="2902"/>
      <c r="V26" s="2768"/>
      <c r="W26" s="263"/>
      <c r="X26" s="2920"/>
      <c r="Z26" s="437"/>
      <c r="AA26" s="437" t="str">
        <f t="shared" si="0"/>
        <v/>
      </c>
      <c r="AB26" s="437"/>
      <c r="AC26" s="437"/>
      <c r="AD26" s="1082">
        <v>11</v>
      </c>
    </row>
    <row r="27" spans="1:30" ht="15.75" customHeight="1">
      <c r="A27" s="1290" t="s">
        <v>215</v>
      </c>
      <c r="B27" s="1290" t="s">
        <v>216</v>
      </c>
      <c r="C27" s="1290" t="s">
        <v>217</v>
      </c>
      <c r="D27" s="1290" t="s">
        <v>218</v>
      </c>
      <c r="E27" s="1290"/>
      <c r="F27" s="2874"/>
      <c r="G27" s="2874"/>
      <c r="I27" s="2900"/>
      <c r="J27" s="2900"/>
      <c r="K27" s="293"/>
      <c r="L27" s="1205"/>
      <c r="M27" s="226" t="s">
        <v>456</v>
      </c>
      <c r="N27" s="304"/>
      <c r="O27" s="304"/>
      <c r="P27" s="304"/>
      <c r="Q27" s="304"/>
      <c r="R27" s="304"/>
      <c r="S27" s="304"/>
      <c r="T27" s="304"/>
      <c r="U27" s="304"/>
      <c r="V27" s="304"/>
      <c r="W27" s="262"/>
      <c r="X27" s="2921"/>
      <c r="Z27" s="437"/>
      <c r="AA27" s="437" t="str">
        <f t="shared" si="0"/>
        <v>Добавить вид теплоносителя (параметры теплоносителя)</v>
      </c>
      <c r="AB27" s="437"/>
      <c r="AC27" s="437"/>
      <c r="AD27" s="1082">
        <v>15</v>
      </c>
    </row>
    <row r="28" spans="1:30" ht="15.75" customHeight="1">
      <c r="A28" s="1290" t="s">
        <v>215</v>
      </c>
      <c r="B28" s="1290" t="s">
        <v>216</v>
      </c>
      <c r="C28" s="1290" t="s">
        <v>217</v>
      </c>
      <c r="D28" s="1290" t="s">
        <v>218</v>
      </c>
      <c r="E28" s="1290"/>
      <c r="F28" s="2874"/>
      <c r="I28" s="2900"/>
      <c r="J28" s="1218"/>
      <c r="K28" s="293"/>
      <c r="L28" s="1205"/>
      <c r="M28" s="225" t="s">
        <v>457</v>
      </c>
      <c r="N28" s="304"/>
      <c r="O28" s="304"/>
      <c r="P28" s="304"/>
      <c r="Q28" s="304"/>
      <c r="R28" s="304"/>
      <c r="S28" s="304"/>
      <c r="T28" s="304"/>
      <c r="U28" s="304"/>
      <c r="V28" s="303"/>
      <c r="W28" s="304"/>
      <c r="X28" s="241"/>
      <c r="Z28" s="437"/>
      <c r="AA28" s="437" t="str">
        <f t="shared" si="0"/>
        <v>Добавить группу потребителей</v>
      </c>
      <c r="AB28" s="437"/>
      <c r="AC28" s="437"/>
      <c r="AD28" s="1082">
        <v>15</v>
      </c>
    </row>
    <row r="29" spans="1:30" ht="15" customHeight="1">
      <c r="A29" s="1290" t="s">
        <v>215</v>
      </c>
      <c r="B29" s="1290" t="s">
        <v>216</v>
      </c>
      <c r="C29" s="1290" t="s">
        <v>217</v>
      </c>
      <c r="D29" s="1290" t="s">
        <v>218</v>
      </c>
      <c r="E29" s="1290"/>
      <c r="F29" s="1292"/>
      <c r="G29" s="1292"/>
      <c r="H29" s="474"/>
      <c r="I29" s="297"/>
      <c r="J29" s="312"/>
      <c r="K29" s="292"/>
      <c r="L29" s="1205"/>
      <c r="M29" s="302" t="s">
        <v>458</v>
      </c>
      <c r="N29" s="304"/>
      <c r="O29" s="304"/>
      <c r="P29" s="304"/>
      <c r="Q29" s="304"/>
      <c r="R29" s="304"/>
      <c r="S29" s="304"/>
      <c r="T29" s="304"/>
      <c r="U29" s="304"/>
      <c r="V29" s="303"/>
      <c r="W29" s="304"/>
      <c r="X29" s="241"/>
      <c r="Z29" s="437"/>
      <c r="AA29" s="437" t="str">
        <f t="shared" si="0"/>
        <v>Добавить схему подключения</v>
      </c>
      <c r="AB29" s="437"/>
      <c r="AC29" s="437"/>
      <c r="AD29" s="1082">
        <v>14</v>
      </c>
    </row>
    <row r="30" spans="1:30" ht="15" customHeight="1">
      <c r="A30" s="1290" t="s">
        <v>215</v>
      </c>
      <c r="B30" s="1290" t="s">
        <v>216</v>
      </c>
      <c r="C30" s="1290" t="s">
        <v>217</v>
      </c>
      <c r="D30" s="1290"/>
      <c r="E30" s="1290" t="s">
        <v>632</v>
      </c>
      <c r="F30" s="1292"/>
      <c r="G30" s="1292"/>
      <c r="H30" s="474"/>
      <c r="I30" s="297"/>
      <c r="J30" s="312"/>
      <c r="K30" s="292"/>
      <c r="L30" s="1206"/>
      <c r="M30" s="1195"/>
      <c r="N30" s="1196"/>
      <c r="O30" s="1196"/>
      <c r="P30" s="1196"/>
      <c r="Q30" s="1196"/>
      <c r="R30" s="1196"/>
      <c r="S30" s="1196"/>
      <c r="T30" s="1196"/>
      <c r="U30" s="1196"/>
      <c r="V30" s="1197"/>
      <c r="W30" s="1196"/>
      <c r="X30" s="1198"/>
      <c r="Z30" s="437"/>
      <c r="AA30" s="437" t="str">
        <f t="shared" si="0"/>
        <v/>
      </c>
      <c r="AB30" s="437"/>
      <c r="AC30" s="437"/>
      <c r="AD30" s="1082">
        <v>14</v>
      </c>
    </row>
    <row r="31" spans="1:30" ht="15" customHeight="1">
      <c r="A31" s="1290" t="s">
        <v>215</v>
      </c>
      <c r="B31" s="1290" t="s">
        <v>216</v>
      </c>
      <c r="C31" s="1290"/>
      <c r="D31" s="1290"/>
      <c r="E31" s="1290" t="s">
        <v>2275</v>
      </c>
      <c r="F31" s="1444"/>
      <c r="G31" s="1444"/>
      <c r="H31" s="474"/>
      <c r="I31" s="295"/>
      <c r="J31" s="312"/>
      <c r="K31" s="296"/>
      <c r="L31" s="1206"/>
      <c r="M31" s="1199"/>
      <c r="N31" s="1196"/>
      <c r="O31" s="1196"/>
      <c r="P31" s="1196"/>
      <c r="Q31" s="1196"/>
      <c r="R31" s="1196"/>
      <c r="S31" s="1196"/>
      <c r="T31" s="1196"/>
      <c r="U31" s="1196"/>
      <c r="V31" s="1197"/>
      <c r="W31" s="1196"/>
      <c r="X31" s="1198"/>
      <c r="Z31" s="437"/>
      <c r="AA31" s="437" t="str">
        <f t="shared" si="0"/>
        <v/>
      </c>
      <c r="AB31" s="437"/>
      <c r="AC31" s="437"/>
      <c r="AD31" s="1082">
        <v>14</v>
      </c>
    </row>
    <row r="32" spans="1:30" ht="15" customHeight="1">
      <c r="A32" s="1290" t="s">
        <v>2276</v>
      </c>
      <c r="B32" s="1290"/>
      <c r="C32" s="1290"/>
      <c r="D32" s="1290"/>
      <c r="E32" s="1290" t="s">
        <v>109</v>
      </c>
      <c r="F32" s="1444"/>
      <c r="G32" s="1444"/>
      <c r="H32" s="474"/>
      <c r="I32" s="297"/>
      <c r="J32" s="312"/>
      <c r="K32" s="292"/>
      <c r="L32" s="1206"/>
      <c r="M32" s="1200"/>
      <c r="N32" s="1196"/>
      <c r="O32" s="1196"/>
      <c r="P32" s="1196"/>
      <c r="Q32" s="1196"/>
      <c r="R32" s="1196"/>
      <c r="S32" s="1196"/>
      <c r="T32" s="1196"/>
      <c r="U32" s="1196"/>
      <c r="V32" s="1197"/>
      <c r="W32" s="1196"/>
      <c r="X32" s="1198"/>
      <c r="Z32" s="437"/>
      <c r="AA32" s="437" t="str">
        <f t="shared" si="0"/>
        <v/>
      </c>
      <c r="AB32" s="437"/>
      <c r="AC32" s="437"/>
      <c r="AD32" s="1082">
        <v>14</v>
      </c>
    </row>
    <row r="33" spans="1:30" s="1775" customFormat="1" ht="11.25" customHeight="1">
      <c r="A33" s="1290"/>
      <c r="B33" s="1290"/>
      <c r="C33" s="1290"/>
      <c r="D33" s="1290"/>
      <c r="E33" s="1290" t="s">
        <v>212</v>
      </c>
      <c r="F33" s="1445"/>
      <c r="G33" s="1446"/>
      <c r="H33" s="474"/>
      <c r="L33" s="1207"/>
      <c r="M33" s="1201"/>
      <c r="N33" s="1196"/>
      <c r="O33" s="1196"/>
      <c r="P33" s="1196"/>
      <c r="Q33" s="1196"/>
      <c r="R33" s="1196"/>
      <c r="S33" s="1196"/>
      <c r="T33" s="1196"/>
      <c r="U33" s="1196"/>
      <c r="V33" s="1197"/>
      <c r="W33" s="1196"/>
      <c r="X33" s="1198"/>
      <c r="Y33" s="316"/>
      <c r="Z33" s="316"/>
      <c r="AA33" s="316"/>
      <c r="AB33" s="316"/>
      <c r="AC33" s="316"/>
      <c r="AD33" s="310">
        <v>11</v>
      </c>
    </row>
    <row r="34" spans="1:30" ht="11.25" customHeight="1">
      <c r="F34" s="1087"/>
      <c r="G34" s="1087"/>
      <c r="H34" s="474"/>
      <c r="I34" s="1082"/>
      <c r="J34" s="1082"/>
      <c r="K34" s="1082"/>
      <c r="Y34" s="1082"/>
      <c r="Z34" s="1082"/>
      <c r="AA34" s="1082"/>
      <c r="AB34" s="1082"/>
      <c r="AC34" s="1082"/>
      <c r="AD34" s="1082">
        <v>11</v>
      </c>
    </row>
    <row r="35" spans="1:30" ht="28.5" customHeight="1">
      <c r="H35" s="474"/>
      <c r="L35" s="1215" t="s">
        <v>849</v>
      </c>
      <c r="M35" s="2895" t="s">
        <v>2277</v>
      </c>
      <c r="N35" s="2895"/>
      <c r="O35" s="2895"/>
      <c r="P35" s="2895"/>
      <c r="Q35" s="2895"/>
      <c r="R35" s="2895"/>
      <c r="S35" s="2895"/>
      <c r="T35" s="2895"/>
      <c r="U35" s="2895"/>
      <c r="V35" s="2895"/>
      <c r="W35" s="2895"/>
      <c r="X35" s="2895"/>
      <c r="AD35" s="1082">
        <v>27</v>
      </c>
    </row>
    <row r="36" spans="1:30" ht="109.5" customHeight="1">
      <c r="H36" s="474"/>
      <c r="I36" s="1230"/>
      <c r="M36" s="2895" t="s">
        <v>2278</v>
      </c>
      <c r="N36" s="2895"/>
      <c r="O36" s="2895"/>
      <c r="P36" s="2895"/>
      <c r="Q36" s="2895"/>
      <c r="R36" s="2895"/>
      <c r="S36" s="2895"/>
      <c r="T36" s="2895"/>
      <c r="U36" s="2895"/>
      <c r="V36" s="2895"/>
      <c r="W36" s="2895"/>
      <c r="X36" s="2895"/>
      <c r="AD36" s="1082">
        <v>104</v>
      </c>
    </row>
    <row r="37" spans="1:30" ht="15" customHeight="1">
      <c r="H37" s="474"/>
      <c r="AD37" s="1082">
        <v>14</v>
      </c>
    </row>
    <row r="38" spans="1:30" ht="15" customHeight="1">
      <c r="H38" s="474"/>
      <c r="AD38" s="1082">
        <v>14</v>
      </c>
    </row>
    <row r="39" spans="1:30" ht="15" customHeight="1">
      <c r="H39" s="474"/>
      <c r="AD39" s="1082">
        <v>14</v>
      </c>
    </row>
    <row r="40" spans="1:30" ht="15" customHeight="1">
      <c r="H40" s="474"/>
      <c r="AD40" s="1082">
        <v>14</v>
      </c>
    </row>
    <row r="41" spans="1:30" ht="22.5" hidden="1" customHeight="1">
      <c r="A41" s="1087" t="s">
        <v>87</v>
      </c>
      <c r="B41" s="1087">
        <v>0</v>
      </c>
      <c r="C41" s="1087">
        <v>0</v>
      </c>
      <c r="D41" s="1087">
        <v>0</v>
      </c>
      <c r="E41" s="1087">
        <v>0</v>
      </c>
      <c r="F41" s="1289">
        <v>0</v>
      </c>
      <c r="G41" s="1289">
        <v>0</v>
      </c>
      <c r="H41" s="1289">
        <v>0</v>
      </c>
      <c r="I41" s="1213">
        <v>3</v>
      </c>
      <c r="J41" s="282">
        <v>3</v>
      </c>
      <c r="K41" s="282">
        <v>3</v>
      </c>
      <c r="L41" s="518">
        <v>12</v>
      </c>
      <c r="M41" s="1082">
        <v>31</v>
      </c>
      <c r="N41" s="1082">
        <v>1</v>
      </c>
      <c r="O41" s="1082">
        <v>24</v>
      </c>
      <c r="P41" s="1082">
        <v>24</v>
      </c>
      <c r="Q41" s="1082">
        <v>24</v>
      </c>
      <c r="R41" s="1082">
        <v>24</v>
      </c>
      <c r="S41" s="1082">
        <v>11</v>
      </c>
      <c r="T41" s="1082">
        <v>3</v>
      </c>
      <c r="U41" s="1082">
        <v>11</v>
      </c>
      <c r="V41" s="1082">
        <v>8</v>
      </c>
      <c r="W41" s="1082">
        <v>4</v>
      </c>
      <c r="X41" s="1082">
        <v>115</v>
      </c>
      <c r="Y41" s="448">
        <v>10</v>
      </c>
      <c r="Z41" s="448">
        <v>10</v>
      </c>
      <c r="AA41" s="448">
        <v>10</v>
      </c>
      <c r="AB41" s="448">
        <v>10</v>
      </c>
      <c r="AC41" s="448">
        <v>10</v>
      </c>
      <c r="AD41" s="1082">
        <v>23</v>
      </c>
    </row>
  </sheetData>
  <sheetProtection formatColumns="0" formatRows="0" insertRows="0" deleteColumns="0" deleteRows="0" sort="0" autoFilter="0"/>
  <mergeCells count="39">
    <mergeCell ref="X25:X27"/>
    <mergeCell ref="M35:X35"/>
    <mergeCell ref="M36:X36"/>
    <mergeCell ref="H25:H26"/>
    <mergeCell ref="S25:S26"/>
    <mergeCell ref="T25:T26"/>
    <mergeCell ref="U25:U26"/>
    <mergeCell ref="V25:V26"/>
    <mergeCell ref="X14:X17"/>
    <mergeCell ref="L15:L17"/>
    <mergeCell ref="M15:M17"/>
    <mergeCell ref="O15:U15"/>
    <mergeCell ref="V15:V17"/>
    <mergeCell ref="W15:W17"/>
    <mergeCell ref="O16:O17"/>
    <mergeCell ref="P16:P17"/>
    <mergeCell ref="Q16:R16"/>
    <mergeCell ref="S16:U16"/>
    <mergeCell ref="T17:U17"/>
    <mergeCell ref="L5:U5"/>
    <mergeCell ref="L6:U6"/>
    <mergeCell ref="O8:U8"/>
    <mergeCell ref="O9:U9"/>
    <mergeCell ref="O10:U10"/>
    <mergeCell ref="O11:U11"/>
    <mergeCell ref="L12:M12"/>
    <mergeCell ref="O13:V13"/>
    <mergeCell ref="L14:W14"/>
    <mergeCell ref="T18:U18"/>
    <mergeCell ref="O19:W19"/>
    <mergeCell ref="O20:W20"/>
    <mergeCell ref="O21:W21"/>
    <mergeCell ref="O22:W22"/>
    <mergeCell ref="F23:F28"/>
    <mergeCell ref="I23:I28"/>
    <mergeCell ref="O23:W23"/>
    <mergeCell ref="G24:G27"/>
    <mergeCell ref="J24:J27"/>
    <mergeCell ref="O24:W24"/>
  </mergeCells>
  <dataValidations count="8">
    <dataValidation allowBlank="1" sqref="L131099:X131105 L196635:X196641 L262171:X262177 L327707:X327713 L393243:X393249 L458779:X458785 L524315:X524321 L589851:X589857 L655387:X655393 L720923:X720929 L786459:X786465 L851995:X852001 L917531:X917537 L983067:X983073 L65563:X65569"/>
    <dataValidation allowBlank="1" promptTitle="checkPeriodRange" sqref="R26 R65562 R131098 R196634 R262170 R327706 R393242 R458778 R524314 R589850 R655386 R720922 R786458 R851994 R917530 R983066"/>
    <dataValidation allowBlank="1" showInputMessage="1" showErrorMessage="1" prompt="Для выбора выполните двойной щелчок левой клавиши мыши по соответствующей ячейке." sqref="T65561 T131097 T196633 T262169 T327705 T393241 T458777 T524313 T589849 T655385 T720921 T786457 T851993 T917529 T983065 V589849 V655385 V720921 V786457 V851993 V917529 V983065 V65561 V131097 V458777 V196633 V262169 V327705 V393241 V25 T25 V52431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S65561 S131097 S196633 S262169 S327705 S393241 S458777 S524313 S589849 S655385 S720921 S786457 S851993 S917529 S983065 U65561 U131097 U196633 U262169 U327705 U393241 U458777 U524313 U589849 U655385 U720921 U786457 U851993 U917529 U983065 U25 S25"/>
    <dataValidation type="list" allowBlank="1" showInputMessage="1" showErrorMessage="1" errorTitle="Ошибка" error="Выберите значение из списка" sqref="M65561 M131097 M196633 M262169 M327705 M393241 M458777 M524313 M589849 M655385 M720921 M786457 M851993 M917529 M983065">
      <formula1>kind_of_heat_transfer</formula1>
    </dataValidation>
    <dataValidation type="list" allowBlank="1" showInputMessage="1" errorTitle="Ошибка" error="Выберите значение из списка" prompt="Выберите значение из списка" sqref="O983064:W983064 O65560:W65560 O131096:W131096 O196632:W196632 O262168:W262168 O327704:W327704 O393240:W393240 O458776:W458776 O524312:W524312 O589848:W589848 O655384:W655384 O720920:W720920 O786456:W786456 O851992:W851992 O917528:W917528">
      <formula1>kind_of_cons</formula1>
    </dataValidation>
    <dataValidation type="textLength" operator="lessThanOrEqual" allowBlank="1" showInputMessage="1" showErrorMessage="1" errorTitle="Ошибка" error="Допускается ввод не более 900 символов!" sqref="X65555:X65562 X131091:X131098 X196627:X196634 X262163:X262170 X327699:X327706 X393235:X393242 X458771:X458778 X524307:X524314 X589843:X589850 X655379:X655386 X720915:X720922 X786451:X786458 X851987:X851994 X917523:X917530 X983059:X983066">
      <formula1>900</formula1>
    </dataValidation>
    <dataValidation type="list" allowBlank="1" showInputMessage="1" showErrorMessage="1" errorTitle="Ошибка" error="Выберите значение из списка" sqref="O983063:P983063 O65559:P65559 O131095:P131095 O196631:P196631 O262167:P262167 O327703:P327703 O393239:P393239 O458775:P458775 O524311:P524311 O589847:P589847 O655383:P655383 O720919:P720919 O786455:P786455 O851991:P851991 O917527:P917527">
      <formula1>kind_of_scheme_in</formula1>
    </dataValidation>
  </dataValidation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J60"/>
  <sheetViews>
    <sheetView showGridLines="0" zoomScale="90" workbookViewId="0">
      <pane xSplit="5" ySplit="12" topLeftCell="F13" activePane="bottomRight" state="frozen"/>
      <selection pane="topRight" activeCell="F1" sqref="F1"/>
      <selection pane="bottomLeft" activeCell="A13" sqref="A13"/>
      <selection pane="bottomRight"/>
    </sheetView>
  </sheetViews>
  <sheetFormatPr defaultColWidth="9.140625" defaultRowHeight="11.25" customHeight="1"/>
  <cols>
    <col min="1" max="1" width="15" style="1613" hidden="1" customWidth="1"/>
    <col min="2" max="2" width="15" style="438" hidden="1" customWidth="1"/>
    <col min="3" max="3" width="3" style="392" customWidth="1"/>
    <col min="4" max="4" width="6" style="393" customWidth="1"/>
    <col min="5" max="5" width="52" style="392" customWidth="1"/>
    <col min="6" max="6" width="48" style="392" customWidth="1"/>
    <col min="7" max="7" width="121" style="392" customWidth="1"/>
    <col min="8" max="8" width="8" style="392" customWidth="1"/>
    <col min="9" max="9" width="64" style="392" customWidth="1"/>
    <col min="10" max="10" width="9.140625" style="392" hidden="1"/>
  </cols>
  <sheetData>
    <row r="1" spans="1:10" ht="11.25" hidden="1" customHeight="1">
      <c r="A1" s="1613" t="s">
        <v>344</v>
      </c>
      <c r="J1" s="392" t="s">
        <v>14</v>
      </c>
    </row>
    <row r="2" spans="1:10" ht="11.25" hidden="1" customHeight="1">
      <c r="J2" s="392">
        <v>0</v>
      </c>
    </row>
    <row r="3" spans="1:10" s="414" customFormat="1" ht="11.25" customHeight="1">
      <c r="A3" s="1613"/>
      <c r="B3" s="438"/>
      <c r="D3" s="415"/>
      <c r="J3" s="414">
        <v>11</v>
      </c>
    </row>
    <row r="4" spans="1:10" ht="27" customHeight="1">
      <c r="D4" s="2810" t="str">
        <f>ORG_INFO_NAME_FORM</f>
        <v>Форма 1. Информация о единых теплоснабжающих организациях в системе теплоснабжения,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не отнесенных к ценовым зонам теплоснабжения, и в поселениях и городских округах, отнесенных к ценовым зонам теплоснабжения в соответствии с Федеральным законом от 27 июля 2010 г. N 190-ФЗ "О теплоснабжении", до окончания переходного периода в ценовых зонах теплоснабжения (далее - регулируемые организации); о единых теплоснабжающих организациях, теплоснабжающих организациях, которым не присвоен статус единой теплоснабжающей организации, и теплосетевых организациях, функционирующих в поселениях и городских округах, отнесенных к ценовым зонам теплоснабжения в соответствии с Федеральным законом от 27 июля 2010 г. N 190-ФЗ "О теплоснабжении", после окончания переходного периода в ценовых зонах теплоснабжения (далее соответственно - единые теплоснабжающие организации в ценовых зонах теплоснабжения, теплоснабжающие организации в ценовых зонах теплоснабжения и теплосетевые организации в ценовых зонах теплоснабжения) (общая информация)</v>
      </c>
      <c r="E4" s="2811"/>
      <c r="F4" s="2812"/>
      <c r="I4" s="652"/>
      <c r="J4" s="392">
        <v>26</v>
      </c>
    </row>
    <row r="5" spans="1:10" ht="18" customHeight="1">
      <c r="D5" s="2849" t="str">
        <f>IF(org=0,"Не определено",org)</f>
        <v>ТМУП "ТТС"</v>
      </c>
      <c r="E5" s="2849"/>
      <c r="F5" s="2849"/>
      <c r="I5" s="652"/>
      <c r="J5" s="392">
        <v>17</v>
      </c>
    </row>
    <row r="6" spans="1:10" s="414" customFormat="1" ht="11.25" customHeight="1">
      <c r="A6" s="1613"/>
      <c r="B6" s="438"/>
      <c r="D6" s="651"/>
      <c r="E6" s="651"/>
      <c r="F6" s="689"/>
      <c r="G6" s="651"/>
      <c r="J6" s="414">
        <v>11</v>
      </c>
    </row>
    <row r="7" spans="1:10" ht="11.25" hidden="1" customHeight="1">
      <c r="A7" s="394"/>
      <c r="B7" s="439"/>
      <c r="C7" s="394"/>
      <c r="D7" s="400"/>
      <c r="E7" s="2855"/>
      <c r="F7" s="2855"/>
      <c r="J7" s="392">
        <v>0</v>
      </c>
    </row>
    <row r="8" spans="1:10" ht="11.25" customHeight="1">
      <c r="A8" s="394"/>
      <c r="B8" s="439"/>
      <c r="C8" s="394"/>
      <c r="D8" s="2852" t="s">
        <v>345</v>
      </c>
      <c r="E8" s="2853"/>
      <c r="F8" s="2853"/>
      <c r="G8" s="2856" t="s">
        <v>346</v>
      </c>
      <c r="J8" s="392">
        <v>11</v>
      </c>
    </row>
    <row r="9" spans="1:10" ht="11.25" customHeight="1">
      <c r="A9" s="394"/>
      <c r="B9" s="439"/>
      <c r="C9" s="394"/>
      <c r="D9" s="409" t="s">
        <v>93</v>
      </c>
      <c r="E9" s="383" t="s">
        <v>347</v>
      </c>
      <c r="F9" s="383" t="s">
        <v>348</v>
      </c>
      <c r="G9" s="2857"/>
      <c r="J9" s="392">
        <v>11</v>
      </c>
    </row>
    <row r="10" spans="1:10" ht="12" hidden="1" customHeight="1">
      <c r="A10" s="394"/>
      <c r="B10" s="439"/>
      <c r="C10" s="394"/>
      <c r="D10" s="401"/>
      <c r="E10" s="401"/>
      <c r="F10" s="401"/>
      <c r="G10" s="401"/>
      <c r="J10" s="392">
        <v>0</v>
      </c>
    </row>
    <row r="11" spans="1:10" ht="22.5" hidden="1" customHeight="1">
      <c r="A11" s="394"/>
      <c r="B11" s="439"/>
      <c r="C11" s="394"/>
      <c r="D11" s="939" t="s">
        <v>114</v>
      </c>
      <c r="E11" s="942" t="s">
        <v>349</v>
      </c>
      <c r="F11" s="941" t="str">
        <f>IF(region_name="","",region_name)</f>
        <v>Тюменская область</v>
      </c>
      <c r="G11" s="942" t="s">
        <v>350</v>
      </c>
      <c r="H11" s="412"/>
      <c r="J11" s="392">
        <v>0</v>
      </c>
    </row>
    <row r="12" spans="1:10" ht="22.5" hidden="1" customHeight="1">
      <c r="A12" s="394"/>
      <c r="B12" s="439"/>
      <c r="C12" s="394"/>
      <c r="D12" s="382" t="s">
        <v>114</v>
      </c>
      <c r="E12" s="381" t="str">
        <f>IF(TEMPLATE_SPHERE="TKO","Данные об организации (индивидуальном предпринимателе)","Данные о регулируемой организации"&amp;IF(TEMPLATE_SPHERE="HEAT",",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f>
        <v xml:space="preserve">Данные о регулируемой организации, о единой теплоснабжающей организации в ценовых зонах теплоснабжения, о теплоснабжающей организации в ценовых зонах теплоснабжения и теплосетевой организации в ценовых зонах теплоснабжения </v>
      </c>
      <c r="F12" s="380" t="s">
        <v>351</v>
      </c>
      <c r="G12" s="411"/>
      <c r="H12" s="412"/>
      <c r="J12" s="392">
        <v>0</v>
      </c>
    </row>
    <row r="13" spans="1:10" ht="23.25" customHeight="1">
      <c r="A13" s="394"/>
      <c r="B13" s="439"/>
      <c r="C13" s="394"/>
      <c r="D13" s="382" t="s">
        <v>114</v>
      </c>
      <c r="E13" s="379" t="str">
        <f>"Наименование юридического лица"&amp;IF(TEMPLATE_SPHERE="TKO"," (индивидуального предпринимателя)","")</f>
        <v>Наименование юридического лица</v>
      </c>
      <c r="F13" s="378"/>
      <c r="G13" s="381" t="str">
        <f>"Наименование юридического лица"&amp;IF(TEMPLATE_SPHERE="HEAT"," (согласно уставу регулируемой организации)"," указывается согласно уставу "&amp;IF(TEMPLATE_SPHERE="TKO","организации. Наименование индивидуального предпринимателя указывается согласно сведениям из ЕГРИП.","регулируемой организации."))</f>
        <v>Наименование юридического лица (согласно уставу регулируемой организации)</v>
      </c>
      <c r="H13" s="412"/>
      <c r="J13" s="392">
        <v>22</v>
      </c>
    </row>
    <row r="14" spans="1:10" ht="22.5" hidden="1" customHeight="1">
      <c r="A14" s="394"/>
      <c r="B14" s="439"/>
      <c r="C14" s="394"/>
      <c r="D14" s="939" t="s">
        <v>352</v>
      </c>
      <c r="E14" s="940" t="s">
        <v>353</v>
      </c>
      <c r="F14" s="941" t="str">
        <f>IF(inn="","",inn)</f>
        <v>7203262893</v>
      </c>
      <c r="G14" s="942" t="s">
        <v>354</v>
      </c>
      <c r="H14" s="412"/>
      <c r="J14" s="392">
        <v>0</v>
      </c>
    </row>
    <row r="15" spans="1:10" ht="22.5" hidden="1" customHeight="1">
      <c r="A15" s="394"/>
      <c r="B15" s="439"/>
      <c r="C15" s="394"/>
      <c r="D15" s="939" t="s">
        <v>355</v>
      </c>
      <c r="E15" s="940" t="s">
        <v>356</v>
      </c>
      <c r="F15" s="941" t="str">
        <f>IF(kpp="","",kpp)</f>
        <v>720301001</v>
      </c>
      <c r="G15" s="942" t="s">
        <v>357</v>
      </c>
      <c r="H15" s="412"/>
      <c r="J15" s="392">
        <v>0</v>
      </c>
    </row>
    <row r="16" spans="1:10" ht="39" customHeight="1">
      <c r="A16" s="394"/>
      <c r="B16" s="439"/>
      <c r="C16" s="394"/>
      <c r="D16" s="382" t="s">
        <v>115</v>
      </c>
      <c r="E16" s="379" t="str">
        <f>"Основной государственный регистрационный номер (ОГРН)"&amp;IF(TEMPLATE_SPHERE="TKO",""," (основной государственный регистрационный номер индивидуального предпринимателя (ОГРНИП)")</f>
        <v>Основной государственный регистрационный номер (ОГРН) (основной государственный регистрационный номер индивидуального предпринимателя (ОГРНИП)</v>
      </c>
      <c r="F16" s="378"/>
      <c r="G16" s="381" t="str">
        <f>"Указывается основной государственный регистрационный номер юридического лица"&amp;IF(TEMPLATE_SPHERE="TKO",""," (индивидуального предпринимателя)")&amp;"."</f>
        <v>Указывается основной государственный регистрационный номер юридического лица (индивидуального предпринимателя).</v>
      </c>
      <c r="H16" s="412"/>
      <c r="J16" s="392">
        <v>37</v>
      </c>
    </row>
    <row r="17" spans="1:10" ht="23.25" customHeight="1">
      <c r="A17" s="394"/>
      <c r="B17" s="439"/>
      <c r="C17" s="394"/>
      <c r="D17" s="382" t="s">
        <v>95</v>
      </c>
      <c r="E17" s="379" t="str">
        <f>"Дата присвоения ОГРН"&amp;IF(TEMPLATE_SPHERE="TKO",""," (ОГРНИП)")</f>
        <v>Дата присвоения ОГРН (ОГРНИП)</v>
      </c>
      <c r="F17" s="1658" t="s">
        <v>30</v>
      </c>
      <c r="G17" s="381" t="str">
        <f>"Дата присвоения ОГРН"&amp;IF(TEMPLATE_SPHERE="TKO",""," (ОГРНИП)")&amp;" указывается в виде «ДД.ММ.ГГГГ»."</f>
        <v>Дата присвоения ОГРН (ОГРНИП) указывается в виде «ДД.ММ.ГГГГ».</v>
      </c>
      <c r="H17" s="412"/>
      <c r="J17" s="392">
        <v>22</v>
      </c>
    </row>
    <row r="18" spans="1:10" ht="71.25" customHeight="1">
      <c r="A18" s="394"/>
      <c r="B18" s="439"/>
      <c r="C18" s="394"/>
      <c r="D18" s="382" t="s">
        <v>96</v>
      </c>
      <c r="E18" s="379" t="str">
        <f>"Наименование органа, принявшего решение о "&amp;IF(TEMPLATE_SPHERE="TKO","государственной регистрации организации ","регистрации в соответствии со свидетельством о государственной регистрации")&amp;" в качестве юридического лица (о государственной регистрации физического лица в качестве индивидуального предпринимателя)"</f>
        <v>Наименование органа, принявшего решение о регистрации в соответствии со свидетельством о государственной регистрации в качестве юридического лица (о государственной регистрации физического лица в качестве индивидуального предпринимателя)</v>
      </c>
      <c r="F18" s="378"/>
      <c r="G18" s="411"/>
      <c r="H18" s="412"/>
      <c r="J18" s="392">
        <v>68</v>
      </c>
    </row>
    <row r="19" spans="1:10" ht="22.5" hidden="1" customHeight="1">
      <c r="A19" s="2850" t="s">
        <v>358</v>
      </c>
      <c r="B19" s="439"/>
      <c r="C19" s="2861"/>
      <c r="D19" s="382" t="str">
        <f>A19</f>
        <v>5.1</v>
      </c>
      <c r="E19" s="379" t="s">
        <v>359</v>
      </c>
      <c r="F19" s="380" t="s">
        <v>351</v>
      </c>
      <c r="G19" s="381" t="s">
        <v>360</v>
      </c>
      <c r="H19" s="412"/>
      <c r="I19" s="783"/>
      <c r="J19" s="392">
        <v>0</v>
      </c>
    </row>
    <row r="20" spans="1:10" ht="24" hidden="1" customHeight="1">
      <c r="A20" s="2850"/>
      <c r="B20" s="439"/>
      <c r="C20" s="2861"/>
      <c r="D20" s="377" t="str">
        <f>D19&amp;".1"</f>
        <v>5.1.1</v>
      </c>
      <c r="E20" s="376" t="s">
        <v>361</v>
      </c>
      <c r="F20" s="811" t="s">
        <v>30</v>
      </c>
      <c r="G20" s="411"/>
      <c r="H20" s="412"/>
      <c r="I20" s="783"/>
      <c r="J20" s="392">
        <v>0</v>
      </c>
    </row>
    <row r="21" spans="1:10" ht="22.5" hidden="1" customHeight="1">
      <c r="A21" s="2850"/>
      <c r="B21" s="439"/>
      <c r="C21" s="2861"/>
      <c r="D21" s="377" t="str">
        <f>D19&amp;".2"</f>
        <v>5.1.2</v>
      </c>
      <c r="E21" s="376" t="s">
        <v>362</v>
      </c>
      <c r="F21" s="1659" t="s">
        <v>30</v>
      </c>
      <c r="G21" s="381" t="s">
        <v>363</v>
      </c>
      <c r="H21" s="412"/>
      <c r="I21" s="783"/>
      <c r="J21" s="392">
        <v>0</v>
      </c>
    </row>
    <row r="22" spans="1:10" ht="22.5" hidden="1" customHeight="1">
      <c r="A22" s="2850"/>
      <c r="B22" s="439"/>
      <c r="C22" s="2861"/>
      <c r="D22" s="377" t="str">
        <f>D19&amp;".3"</f>
        <v>5.1.3</v>
      </c>
      <c r="E22" s="376" t="s">
        <v>364</v>
      </c>
      <c r="F22" s="811" t="s">
        <v>30</v>
      </c>
      <c r="G22" s="411"/>
      <c r="H22" s="412"/>
      <c r="I22" s="783"/>
      <c r="J22" s="392">
        <v>0</v>
      </c>
    </row>
    <row r="23" spans="1:10" ht="22.5" hidden="1" customHeight="1">
      <c r="A23" s="2850"/>
      <c r="B23" s="439"/>
      <c r="C23" s="2861"/>
      <c r="D23" s="377" t="str">
        <f>D19&amp;".4"</f>
        <v>5.1.4</v>
      </c>
      <c r="E23" s="376" t="s">
        <v>365</v>
      </c>
      <c r="F23" s="811" t="s">
        <v>30</v>
      </c>
      <c r="G23" s="381" t="s">
        <v>366</v>
      </c>
      <c r="H23" s="412"/>
      <c r="I23" s="783"/>
      <c r="J23" s="392">
        <v>0</v>
      </c>
    </row>
    <row r="24" spans="1:10" ht="22.5" hidden="1" customHeight="1">
      <c r="A24" s="1900"/>
      <c r="B24" s="439"/>
      <c r="C24" s="429"/>
      <c r="D24" s="404"/>
      <c r="E24" s="1095" t="s">
        <v>367</v>
      </c>
      <c r="F24" s="405"/>
      <c r="G24" s="406"/>
      <c r="H24" s="412"/>
      <c r="I24" s="783"/>
      <c r="J24" s="392">
        <v>0</v>
      </c>
    </row>
    <row r="25" spans="1:10" s="438" customFormat="1" ht="24.75" hidden="1" customHeight="1">
      <c r="A25" s="394"/>
      <c r="B25" s="439"/>
      <c r="C25" s="439"/>
      <c r="D25" s="936" t="s">
        <v>95</v>
      </c>
      <c r="E25" s="938" t="s">
        <v>368</v>
      </c>
      <c r="F25" s="943" t="s">
        <v>351</v>
      </c>
      <c r="G25" s="938"/>
      <c r="J25" s="438">
        <v>0</v>
      </c>
    </row>
    <row r="26" spans="1:10" s="438" customFormat="1" ht="11.25" hidden="1" customHeight="1">
      <c r="A26" s="394"/>
      <c r="B26" s="439"/>
      <c r="C26" s="439"/>
      <c r="D26" s="936" t="s">
        <v>369</v>
      </c>
      <c r="E26" s="937" t="s">
        <v>370</v>
      </c>
      <c r="F26" s="943" t="s">
        <v>351</v>
      </c>
      <c r="G26" s="938"/>
      <c r="J26" s="438">
        <v>0</v>
      </c>
    </row>
    <row r="27" spans="1:10" s="438" customFormat="1" ht="11.25" hidden="1" customHeight="1">
      <c r="A27" s="394"/>
      <c r="B27" s="439"/>
      <c r="C27" s="439"/>
      <c r="D27" s="936" t="s">
        <v>371</v>
      </c>
      <c r="E27" s="944" t="s">
        <v>372</v>
      </c>
      <c r="F27" s="945"/>
      <c r="G27" s="938" t="str">
        <f>"Указывается фамилия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фамилия должностного лица регулируемой организации, ответственного за размещение данных, в соответствии с паспортными данными физического лица.</v>
      </c>
      <c r="J27" s="438">
        <v>0</v>
      </c>
    </row>
    <row r="28" spans="1:10" s="438" customFormat="1" ht="11.25" hidden="1" customHeight="1">
      <c r="A28" s="394"/>
      <c r="B28" s="439"/>
      <c r="C28" s="439"/>
      <c r="D28" s="936" t="s">
        <v>373</v>
      </c>
      <c r="E28" s="944" t="s">
        <v>374</v>
      </c>
      <c r="F28" s="945"/>
      <c r="G28" s="938" t="str">
        <f>"Указывается имя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f>
        <v>Указывается имя должностного лица регулируемой организации, ответственного за размещение данных, в соответствии с паспортными данными физического лица.</v>
      </c>
      <c r="J28" s="438">
        <v>0</v>
      </c>
    </row>
    <row r="29" spans="1:10" s="438" customFormat="1" ht="11.25" hidden="1" customHeight="1">
      <c r="A29" s="394"/>
      <c r="B29" s="439"/>
      <c r="C29" s="439"/>
      <c r="D29" s="936" t="s">
        <v>375</v>
      </c>
      <c r="E29" s="944" t="s">
        <v>376</v>
      </c>
      <c r="F29" s="945"/>
      <c r="G29" s="938" t="str">
        <f>"Указывается отчество должностного лица"&amp;IF(TEMPLATE_SPHERE="HEAT"," регулируемой","")&amp;" организации"&amp;IF(TEMPLATE_SPHERE="HEAT",""," "&amp;TEMPLATE_SPHERE_RUS)&amp;", ответственного за размещение данных, в соответствии с паспортными данными физического лица (при наличии)."</f>
        <v>Указывается отчество должностного лица регулируемой организации, ответственного за размещение данных, в соответствии с паспортными данными физического лица (при наличии).</v>
      </c>
      <c r="J29" s="438">
        <v>0</v>
      </c>
    </row>
    <row r="30" spans="1:10" s="438" customFormat="1" ht="11.25" hidden="1" customHeight="1">
      <c r="A30" s="394"/>
      <c r="B30" s="439"/>
      <c r="C30" s="439"/>
      <c r="D30" s="936" t="s">
        <v>377</v>
      </c>
      <c r="E30" s="937" t="s">
        <v>378</v>
      </c>
      <c r="F30" s="945"/>
      <c r="G30" s="938"/>
      <c r="J30" s="438">
        <v>0</v>
      </c>
    </row>
    <row r="31" spans="1:10" s="438" customFormat="1" ht="11.25" hidden="1" customHeight="1">
      <c r="A31" s="394"/>
      <c r="B31" s="439"/>
      <c r="C31" s="439"/>
      <c r="D31" s="936" t="s">
        <v>379</v>
      </c>
      <c r="E31" s="937" t="s">
        <v>380</v>
      </c>
      <c r="F31" s="945"/>
      <c r="G31" s="938"/>
      <c r="J31" s="438">
        <v>0</v>
      </c>
    </row>
    <row r="32" spans="1:10" s="438" customFormat="1" ht="11.25" hidden="1" customHeight="1">
      <c r="A32" s="394"/>
      <c r="B32" s="439"/>
      <c r="C32" s="439"/>
      <c r="D32" s="936" t="s">
        <v>381</v>
      </c>
      <c r="E32" s="937" t="s">
        <v>382</v>
      </c>
      <c r="F32" s="946"/>
      <c r="G32" s="938"/>
      <c r="J32" s="438">
        <v>0</v>
      </c>
    </row>
    <row r="33" spans="1:10" ht="24" customHeight="1">
      <c r="A33" s="394" t="str">
        <f>IF(TEMPLATE_SPHERE="HEAT","6","5")</f>
        <v>6</v>
      </c>
      <c r="B33" s="439"/>
      <c r="C33" s="394"/>
      <c r="D33" s="377" t="str">
        <f>A33</f>
        <v>6</v>
      </c>
      <c r="E33" s="375" t="str">
        <f>"Фамилия, имя и отчество руководителя"&amp;IF(TEMPLATE_SPHERE="HEAT"," регулируемой организации, ЕТО, ТО ",IF(TEMPLATE_SPHERE&lt;&gt;"TKO"," регулируемой организации"," организации"))&amp;IF(TEMPLATE_SPHERE&lt;&gt;"TKO"," (индивидуального предпринимателя)","")&amp;":"</f>
        <v>Фамилия, имя и отчество руководителя регулируемой организации, ЕТО, ТО  (индивидуального предпринимателя):</v>
      </c>
      <c r="F33" s="380" t="s">
        <v>351</v>
      </c>
      <c r="G33" s="411"/>
      <c r="H33" s="412"/>
      <c r="J33" s="392">
        <v>23</v>
      </c>
    </row>
    <row r="34" spans="1:10" ht="23.25" customHeight="1">
      <c r="A34" s="394"/>
      <c r="B34" s="439"/>
      <c r="C34" s="394"/>
      <c r="D34" s="377" t="str">
        <f>D33&amp;".1"</f>
        <v>6.1</v>
      </c>
      <c r="E34" s="379" t="str">
        <f>"фамилия"&amp;IF(TEMPLATE_SPHERE&lt;&gt;"HEAT"," руководителя","")</f>
        <v>фамилия</v>
      </c>
      <c r="F34" s="378"/>
      <c r="G34" s="381" t="str">
        <f>"Указывается фамилия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фамилия руководителя регулируемой организации, ЕТО, ТО в соответствии с паспортными данными физического лица.</v>
      </c>
      <c r="H34" s="412"/>
      <c r="J34" s="392">
        <v>22</v>
      </c>
    </row>
    <row r="35" spans="1:10" ht="23.25" customHeight="1">
      <c r="A35" s="394"/>
      <c r="B35" s="439"/>
      <c r="C35" s="394"/>
      <c r="D35" s="377" t="str">
        <f>D33&amp;".2"</f>
        <v>6.2</v>
      </c>
      <c r="E35" s="379" t="str">
        <f>"имя"&amp;IF(TEMPLATE_SPHERE&lt;&gt;"HEAT"," руководителя","")</f>
        <v>имя</v>
      </c>
      <c r="F35" s="378"/>
      <c r="G35" s="381" t="str">
        <f>"Указывается имя руководителя"&amp;IF(TEMPLATE_SPHERE&lt;&gt;"TKO"," регулируемой организации"&amp;IF(TEMPLATE_SPHERE="HEAT",", ЕТО, ТО","")," организации")&amp;" в соответствии с паспортными данными физического лица."</f>
        <v>Указывается имя руководителя регулируемой организации, ЕТО, ТО в соответствии с паспортными данными физического лица.</v>
      </c>
      <c r="H35" s="412"/>
      <c r="J35" s="392">
        <v>22</v>
      </c>
    </row>
    <row r="36" spans="1:10" ht="24" customHeight="1">
      <c r="A36" s="394"/>
      <c r="B36" s="439"/>
      <c r="C36" s="394"/>
      <c r="D36" s="377" t="str">
        <f>D33&amp;".3"</f>
        <v>6.3</v>
      </c>
      <c r="E36" s="379" t="str">
        <f>"отчество"&amp;IF(TEMPLATE_SPHERE&lt;&gt;"HEAT"," руководителя","")</f>
        <v>отчество</v>
      </c>
      <c r="F36" s="635"/>
      <c r="G36" s="381" t="str">
        <f>"Указывается отчество руководителя"&amp;IF(TEMPLATE_SPHERE&lt;&gt;"TKO"," регулируемой организации"&amp;IF(TEMPLATE_SPHERE="HEAT",", ЕТО, ТО","")," организации")&amp;" в соответствии с паспортными данными физического лица (при наличии)."</f>
        <v>Указывается отчество руководителя регулируемой организации, ЕТО, ТО в соответствии с паспортными данными физического лица (при наличии).</v>
      </c>
      <c r="H36" s="412"/>
      <c r="J36" s="392">
        <v>23</v>
      </c>
    </row>
    <row r="37" spans="1:10" ht="36" customHeight="1">
      <c r="A37" s="394"/>
      <c r="B37" s="439"/>
      <c r="C37" s="394"/>
      <c r="D37" s="377">
        <f>D33+1</f>
        <v>7</v>
      </c>
      <c r="E37" s="375" t="str">
        <f>"Почтовый адрес органов управления"&amp;IF(TEMPLATE_SPHERE&lt;&gt;"TKO"," регулируемой","")&amp;" организации"&amp;IF(TEMPLATE_SPHERE="HEAT",", ЕТО, ТО","")</f>
        <v>Почтовый адрес органов управления регулируемой организации, ЕТО, ТО</v>
      </c>
      <c r="F37" s="378"/>
      <c r="G37" s="381" t="s">
        <v>383</v>
      </c>
      <c r="H37" s="412"/>
      <c r="J37" s="392">
        <v>34</v>
      </c>
    </row>
    <row r="38" spans="1:10" ht="36" customHeight="1">
      <c r="A38" s="394"/>
      <c r="B38" s="439"/>
      <c r="C38" s="394"/>
      <c r="D38" s="377">
        <f>D37+1</f>
        <v>8</v>
      </c>
      <c r="E38" s="375" t="str">
        <f>"Адрес места нахождения органов управления"&amp;IF(TEMPLATE_SPHERE&lt;&gt;"TKO"," регулируемой","")&amp;" организации"&amp;IF(TEMPLATE_SPHERE="HEAT",", ЕТО, ТО","")</f>
        <v>Адрес места нахождения органов управления регулируемой организации, ЕТО, ТО</v>
      </c>
      <c r="F38" s="378"/>
      <c r="G38" s="381" t="s">
        <v>383</v>
      </c>
      <c r="H38" s="412"/>
      <c r="J38" s="392">
        <v>34</v>
      </c>
    </row>
    <row r="39" spans="1:10" ht="23.25" customHeight="1">
      <c r="A39" s="394"/>
      <c r="B39" s="439"/>
      <c r="C39" s="394"/>
      <c r="D39" s="377">
        <f>D38+1</f>
        <v>9</v>
      </c>
      <c r="E39" s="374" t="str">
        <f>"Контактные телефоны "&amp;IF(TEMPLATE_SPHERE="TKO","","регулируемой ")&amp;"организации"&amp;IF(TEMPLATE_SPHERE="HEAT",", ЕТО, ТО",IF(TEMPLATE_SPHERE="TKO"," (индивидуального предпринимателя)",""))</f>
        <v>Контактные телефоны регулируемой организации, ЕТО, ТО</v>
      </c>
      <c r="F39" s="380" t="s">
        <v>351</v>
      </c>
      <c r="G39" s="2858" t="str">
        <f>"Указывается номер контактного телефона"&amp;IF(TEMPLATE_SPHERE&lt;&gt;"TKO"," регулируемой","")&amp;" организации.
В случае наличия нескольких номеров телефонов, информация по каждому из них указывается в отдельной строке."</f>
        <v>Указывается номер контактного телефона регулируемой организации.
В случае наличия нескольких номеров телефонов, информация по каждому из них указывается в отдельной строке.</v>
      </c>
      <c r="H39" s="412"/>
      <c r="J39" s="392">
        <v>22</v>
      </c>
    </row>
    <row r="40" spans="1:10" ht="22.5" hidden="1" customHeight="1">
      <c r="A40" s="394"/>
      <c r="B40" s="439"/>
      <c r="C40" s="394"/>
      <c r="D40" s="377" t="str">
        <f>D39&amp;".0"</f>
        <v>9.0</v>
      </c>
      <c r="E40" s="1532"/>
      <c r="F40" s="811"/>
      <c r="G40" s="2859"/>
      <c r="H40" s="412"/>
      <c r="J40" s="392">
        <v>0</v>
      </c>
    </row>
    <row r="41" spans="1:10" ht="23.25" customHeight="1">
      <c r="A41" s="394"/>
      <c r="B41" s="394"/>
      <c r="C41" s="1615"/>
      <c r="D41" s="377" t="str">
        <f>D39&amp;".1"</f>
        <v>9.1</v>
      </c>
      <c r="E41" s="791"/>
      <c r="F41" s="792"/>
      <c r="G41" s="2859"/>
      <c r="H41" s="412"/>
      <c r="J41" s="392">
        <v>22</v>
      </c>
    </row>
    <row r="42" spans="1:10" ht="15.75" customHeight="1">
      <c r="A42" s="394"/>
      <c r="B42" s="439"/>
      <c r="C42" s="394"/>
      <c r="D42" s="404"/>
      <c r="E42" s="352" t="s">
        <v>384</v>
      </c>
      <c r="F42" s="406"/>
      <c r="G42" s="2860"/>
      <c r="H42" s="413"/>
      <c r="J42" s="392">
        <v>15</v>
      </c>
    </row>
    <row r="43" spans="1:10" ht="27" customHeight="1">
      <c r="A43" s="394"/>
      <c r="B43" s="439"/>
      <c r="C43" s="394"/>
      <c r="D43" s="377">
        <f>D39+1</f>
        <v>10</v>
      </c>
      <c r="E43" s="375" t="str">
        <f>IF(TEMPLATE_SPHERE="TKO","Адрес официального сайта организации в сети «Интернет»","Официальный сайт регулируемой организации"&amp;IF(TEMPLATE_SPHERE="HEAT",", ЕТО, ТО","")&amp;" в сети «Интернет»")</f>
        <v>Официальный сайт регулируемой организации, ЕТО, ТО в сети «Интернет»</v>
      </c>
      <c r="F43" s="793"/>
      <c r="G43" s="381" t="str">
        <f>"Указывается адрес официального сайта"&amp;IF(TEMPLATE_SPHERE&lt;&gt;"TKO"," регулируемой","")&amp;" организации"&amp;" в сети «Интернет». В случае отсутствия официального сайта"&amp;IF(TEMPLATE_SPHERE&lt;&gt;"TKO"," регулируемой","")&amp;" организации в сети «Интернет» указывается «Отсутствует»."</f>
        <v>Указывается адрес официального сайта регулируемой организации в сети «Интернет». В случае отсутствия официального сайта регулируемой организации в сети «Интернет» указывается «Отсутствует».</v>
      </c>
      <c r="H43" s="412"/>
      <c r="J43" s="392">
        <v>26</v>
      </c>
    </row>
    <row r="44" spans="1:10" ht="23.25" customHeight="1">
      <c r="A44" s="394"/>
      <c r="B44" s="439"/>
      <c r="C44" s="394"/>
      <c r="D44" s="377">
        <f>D43+1</f>
        <v>11</v>
      </c>
      <c r="E44" s="375" t="str">
        <f>"Адрес электронной почты "&amp;IF(TEMPLATE_SPHERE="TKO","","регулируемой ")&amp;"организации"&amp;IF(TEMPLATE_SPHERE="HEAT",", ЕТО, ТО",IF(TEMPLATE_SPHERE="TKO"," (индивидуального предпринимателя)",""))</f>
        <v>Адрес электронной почты регулируемой организации, ЕТО, ТО</v>
      </c>
      <c r="F44" s="315"/>
      <c r="G44" s="411" t="s">
        <v>385</v>
      </c>
      <c r="H44" s="412"/>
      <c r="J44" s="392">
        <v>22</v>
      </c>
    </row>
    <row r="45" spans="1:10" ht="23.25" customHeight="1">
      <c r="A45" s="394"/>
      <c r="B45" s="439"/>
      <c r="C45" s="394"/>
      <c r="D45" s="377">
        <f>D44+1</f>
        <v>12</v>
      </c>
      <c r="E45" s="375" t="s">
        <v>386</v>
      </c>
      <c r="F45" s="380" t="s">
        <v>351</v>
      </c>
      <c r="G45" s="374" t="str">
        <f>IF(TEMPLATE_SPHERE="TKO","Указывается режим работы организации.","")</f>
        <v/>
      </c>
      <c r="H45" s="412"/>
      <c r="J45" s="392">
        <v>22</v>
      </c>
    </row>
    <row r="46" spans="1:10" ht="24" customHeight="1">
      <c r="A46" s="394"/>
      <c r="B46" s="439"/>
      <c r="C46" s="394"/>
      <c r="D46" s="377" t="str">
        <f>D45&amp;".1"</f>
        <v>12.1</v>
      </c>
      <c r="E46" s="379" t="str">
        <f>"режим работы регулируемой организации"&amp;IF(TEMPLATE_SPHERE="HEAT",", ЕТО, ТО","")</f>
        <v>режим работы регулируемой организации, ЕТО, ТО</v>
      </c>
      <c r="F46" s="1611"/>
      <c r="G46" s="374" t="s">
        <v>387</v>
      </c>
      <c r="H46" s="412"/>
      <c r="J46" s="392">
        <v>23</v>
      </c>
    </row>
    <row r="47" spans="1:10" ht="24" customHeight="1">
      <c r="A47" s="2850"/>
      <c r="B47" s="439"/>
      <c r="C47" s="429"/>
      <c r="D47" s="377" t="str">
        <f>D45&amp;".2"</f>
        <v>12.2</v>
      </c>
      <c r="E47" s="379" t="s">
        <v>388</v>
      </c>
      <c r="F47" s="427"/>
      <c r="G47" s="374" t="s">
        <v>389</v>
      </c>
      <c r="H47" s="412"/>
      <c r="J47" s="392">
        <v>23</v>
      </c>
    </row>
    <row r="48" spans="1:10" ht="24" customHeight="1">
      <c r="A48" s="2850"/>
      <c r="B48" s="439"/>
      <c r="C48" s="429"/>
      <c r="D48" s="377" t="str">
        <f>D45&amp;".3"</f>
        <v>12.3</v>
      </c>
      <c r="E48" s="379" t="s">
        <v>390</v>
      </c>
      <c r="F48" s="427"/>
      <c r="G48" s="374" t="s">
        <v>391</v>
      </c>
      <c r="H48" s="412"/>
      <c r="J48" s="392">
        <v>23</v>
      </c>
    </row>
    <row r="49" spans="1:10" ht="24" customHeight="1">
      <c r="A49" s="2850"/>
      <c r="B49" s="439"/>
      <c r="C49" s="429"/>
      <c r="D49" s="377" t="str">
        <f>IF(TEMPLATE_SPHERE="TKO",D45&amp;".0",D45&amp;".4")</f>
        <v>12.4</v>
      </c>
      <c r="E49" s="373" t="s">
        <v>392</v>
      </c>
      <c r="F49" s="1612"/>
      <c r="G49" s="1688" t="s">
        <v>393</v>
      </c>
      <c r="H49" s="412"/>
      <c r="J49" s="392">
        <v>23</v>
      </c>
    </row>
    <row r="50" spans="1:10" ht="24" customHeight="1">
      <c r="A50" s="394"/>
      <c r="B50" s="439"/>
      <c r="C50" s="394"/>
      <c r="D50" s="404"/>
      <c r="E50" s="352" t="s">
        <v>394</v>
      </c>
      <c r="F50" s="405"/>
      <c r="G50" s="1688" t="s">
        <v>395</v>
      </c>
      <c r="H50" s="413"/>
      <c r="J50" s="392">
        <v>23</v>
      </c>
    </row>
    <row r="51" spans="1:10" ht="24" customHeight="1">
      <c r="A51" s="789"/>
      <c r="B51" s="439"/>
      <c r="C51" s="429"/>
      <c r="D51" s="377">
        <f>D45+1</f>
        <v>13</v>
      </c>
      <c r="E51" s="465" t="s">
        <v>396</v>
      </c>
      <c r="F51" s="427"/>
      <c r="G51" s="1616" t="str">
        <f>"Указывается наличие «да» или отсутствие «нет» утвержденной в установленном порядке инвестиционной программы"&amp;IF(TEMPLATE_SPHERE="HEAT","В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"&amp;"а также требований к составу и содержанию таких программ (за исключением таких программ, утверждаемых "&amp;"в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"&amp;"в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f>
        <v>Указывается наличие «да» или отсутствие «нет» утвержденной в установленном порядке инвестиционной программыВ соответствии с пунктом 1(1) Правил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утвержденных постановлением Правительства Российской Федерации от 05.05.2014 № 410, в ценовых зонах теплоснабжения инвестиционная программа в отношении деятельности по подключению (технологическому присоединению) к системе теплоснабжения не разрабатывается и не утверждается.</v>
      </c>
      <c r="H51" s="412"/>
      <c r="J51" s="392">
        <v>23</v>
      </c>
    </row>
    <row r="52" spans="1:10" ht="11.25" customHeight="1">
      <c r="A52" s="394"/>
      <c r="B52" s="439"/>
      <c r="C52" s="394"/>
      <c r="J52" s="392">
        <v>11</v>
      </c>
    </row>
    <row r="53" spans="1:10" s="397" customFormat="1" ht="31.5" customHeight="1">
      <c r="A53" s="1614"/>
      <c r="B53" s="440"/>
      <c r="C53" s="2851"/>
      <c r="D53" s="2854" t="str">
        <f>"В случае если регулируемая организация"&amp;IF(TEMPLATE_SPHERE="HEAT",",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теплоснабжения","")&amp;" осуществляет несколько видов деятельности в сфере "&amp;TEMPLATE_SPHERE_RUS&amp;", информация о которых подлежит раскрытию в соответствии со Стандартами раскрытия информации в сфере "&amp;IF(TEMPLATE_SPHERE="HEAT","теплоснабжения","водоснабжения и водоотведения")&amp;", утвержденными постановлением Правительства Российской Федерации от 26.01.2023 № "&amp;IF(TEMPLATE_SPHERE="HEAT","110",IF(TEMPLATE_SPHERE="TKO","109 ""Об утверждении стандартов раскрытия информации в области обращения с твердыми коммунальными отходами""","108"))&amp;", информация по каждому виду деятельности раскрывается отдельно."</f>
        <v>В случае если регулируемая организация, единая теплоснабжающая организация в ценовых зонах теплоснабжения, теплоснабжающая организация в ценовых зонах теплоснабжения и теплосетевая организация в ценовых зонах теплоснабжения осуществляет несколько видов деятельности в сфере теплоснабжения, информация о которых подлежит раскрытию в соответствии со Стандартами раскрытия информации в сфере теплоснабжения, утвержденными постановлением Правительства Российской Федерации от 26.01.2023 № 110, информация по каждому виду деятельности раскрывается отдельно.</v>
      </c>
      <c r="E53" s="2854"/>
      <c r="F53" s="2854"/>
      <c r="G53" s="2854"/>
      <c r="H53" s="391"/>
      <c r="I53" s="391"/>
      <c r="J53" s="397">
        <v>30</v>
      </c>
    </row>
    <row r="54" spans="1:10" s="397" customFormat="1" ht="42" customHeight="1">
      <c r="A54" s="394"/>
      <c r="B54" s="439"/>
      <c r="C54" s="2851"/>
      <c r="D54" s="2854" t="str">
        <f>IF(ORG_INFO_P_NOTE_MAIN=0,"",ORG_INFO_P_NOTE_MAIN)</f>
        <v>В случае если регулируемыми организациями, единой теплоснабжающей организацией в ценовых зонах теплоснабжения, теплоснабжающей организацией в ценовых зонах теплоснабжения и теплосетевой организацией в ценовых зонах теплоснабжения оказываются услуги по теплоснабжению по нескольким технологически не связанным между собой централизованным системам теплоснабжения, и если в отношении указанных систем устанавливаются различные тарифы в сфере теплоснабжения, то информация раскрывается отдельно по каждой централизованной системе теплоснабжения.</v>
      </c>
      <c r="E54" s="2854"/>
      <c r="F54" s="2854"/>
      <c r="G54" s="2854"/>
      <c r="J54" s="397">
        <v>40</v>
      </c>
    </row>
    <row r="55" spans="1:10" ht="11.25" customHeight="1">
      <c r="D55" s="395"/>
      <c r="E55" s="396"/>
      <c r="F55" s="396"/>
      <c r="G55" s="396"/>
      <c r="J55" s="392">
        <v>11</v>
      </c>
    </row>
    <row r="56" spans="1:10" ht="28.5" customHeight="1">
      <c r="D56" s="398"/>
      <c r="E56" s="395"/>
      <c r="F56" s="407"/>
      <c r="G56" s="407"/>
      <c r="J56" s="392">
        <v>27</v>
      </c>
    </row>
    <row r="57" spans="1:10" ht="11.25" customHeight="1">
      <c r="D57" s="395"/>
      <c r="E57" s="395"/>
      <c r="F57" s="396"/>
      <c r="G57" s="396"/>
      <c r="J57" s="392">
        <v>11</v>
      </c>
    </row>
    <row r="58" spans="1:10" ht="41.25" customHeight="1">
      <c r="D58" s="399"/>
      <c r="E58" s="408"/>
      <c r="F58" s="408"/>
      <c r="G58" s="408"/>
      <c r="J58" s="392">
        <v>39</v>
      </c>
    </row>
    <row r="59" spans="1:10" ht="28.5" customHeight="1">
      <c r="D59" s="399"/>
      <c r="E59" s="408"/>
      <c r="F59" s="408"/>
      <c r="G59" s="408"/>
      <c r="J59" s="392">
        <v>27</v>
      </c>
    </row>
    <row r="60" spans="1:10" ht="11.25" hidden="1" customHeight="1">
      <c r="A60" s="1613" t="s">
        <v>87</v>
      </c>
      <c r="B60" s="438">
        <v>0</v>
      </c>
      <c r="C60" s="392">
        <v>3</v>
      </c>
      <c r="D60" s="393">
        <v>6</v>
      </c>
      <c r="E60" s="392">
        <v>52</v>
      </c>
      <c r="F60" s="392">
        <v>48</v>
      </c>
      <c r="G60" s="392">
        <v>121</v>
      </c>
      <c r="H60" s="392">
        <v>8</v>
      </c>
      <c r="I60" s="392">
        <v>64</v>
      </c>
      <c r="J60" s="392">
        <v>11</v>
      </c>
    </row>
  </sheetData>
  <sheetProtection formatColumns="0" formatRows="0" insertRows="0" deleteColumns="0" deleteRows="0" sort="0" autoFilter="0"/>
  <mergeCells count="12">
    <mergeCell ref="D4:F4"/>
    <mergeCell ref="A47:A49"/>
    <mergeCell ref="C53:C54"/>
    <mergeCell ref="D8:F8"/>
    <mergeCell ref="D53:G53"/>
    <mergeCell ref="D54:G54"/>
    <mergeCell ref="E7:F7"/>
    <mergeCell ref="G8:G9"/>
    <mergeCell ref="D5:F5"/>
    <mergeCell ref="G39:G42"/>
    <mergeCell ref="A19:A23"/>
    <mergeCell ref="C19:C23"/>
  </mergeCells>
  <dataValidations count="3">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1 F17"/>
    <dataValidation type="textLength" operator="lessThanOrEqual" allowBlank="1" showInputMessage="1" showErrorMessage="1" errorTitle="Ошибка" error="Допускается ввод не более 900 символов!" sqref="F13 F43:F44 F27:F32 F16 E40:F41 F18 F20 F34:F38 F22:F23">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F51 F46:F49">
      <formula1>"a"</formula1>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row r="1" spans="1:1" ht="11.25" customHeight="1">
      <c r="A1" s="6"/>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8"/>
  <sheetViews>
    <sheetView showGridLines="0" workbookViewId="0"/>
  </sheetViews>
  <sheetFormatPr defaultRowHeight="11.25" customHeight="1"/>
  <cols>
    <col min="1" max="1" width="10.5703125" style="4" customWidth="1"/>
    <col min="2" max="2" width="8.7109375" style="4" customWidth="1"/>
    <col min="3" max="3" width="18.140625" style="4" customWidth="1"/>
    <col min="4" max="4" width="12.5703125" style="4" customWidth="1"/>
  </cols>
  <sheetData>
    <row r="1" spans="1:5" ht="11.25" customHeight="1">
      <c r="A1" s="2016" t="s">
        <v>2279</v>
      </c>
      <c r="B1" s="2017" t="s">
        <v>2280</v>
      </c>
      <c r="C1" s="3175" t="s">
        <v>2281</v>
      </c>
      <c r="D1" s="3176"/>
      <c r="E1" s="767" t="s">
        <v>2282</v>
      </c>
    </row>
    <row r="2" spans="1:5" ht="11.25" customHeight="1">
      <c r="A2" s="2018"/>
      <c r="B2" s="700" t="s">
        <v>28</v>
      </c>
      <c r="C2" s="690"/>
      <c r="D2" s="699"/>
      <c r="E2" s="767"/>
    </row>
    <row r="3" spans="1:5" ht="11.25" customHeight="1">
      <c r="A3" s="2019"/>
      <c r="B3" s="2020" t="s">
        <v>35</v>
      </c>
      <c r="C3" s="690"/>
      <c r="D3" s="699"/>
      <c r="E3" s="767"/>
    </row>
    <row r="4" spans="1:5" ht="11.25" customHeight="1">
      <c r="A4" s="2021"/>
      <c r="B4" s="701" t="s">
        <v>1706</v>
      </c>
      <c r="C4" s="690"/>
      <c r="D4" s="699"/>
      <c r="E4" s="767"/>
    </row>
    <row r="5" spans="1:5" ht="11.25" customHeight="1">
      <c r="A5" s="2022"/>
      <c r="B5" s="701" t="s">
        <v>1700</v>
      </c>
      <c r="C5" s="2023" t="s">
        <v>2046</v>
      </c>
      <c r="D5" s="2024" t="s">
        <v>2283</v>
      </c>
      <c r="E5" s="767"/>
    </row>
    <row r="6" spans="1:5" s="1775" customFormat="1" ht="11.25" customHeight="1">
      <c r="A6" s="2025"/>
      <c r="B6" s="701" t="s">
        <v>1710</v>
      </c>
      <c r="C6" s="690"/>
      <c r="D6" s="699"/>
      <c r="E6" s="767"/>
    </row>
    <row r="7" spans="1:5" ht="11.25" customHeight="1">
      <c r="A7" s="2026"/>
      <c r="B7" s="701" t="s">
        <v>1717</v>
      </c>
      <c r="C7" s="690"/>
      <c r="D7" s="699"/>
      <c r="E7" s="767"/>
    </row>
    <row r="8" spans="1:5" ht="11.25" customHeight="1">
      <c r="A8" s="692"/>
      <c r="B8" s="701" t="s">
        <v>1713</v>
      </c>
      <c r="C8" s="690"/>
      <c r="D8" s="699"/>
      <c r="E8" s="767"/>
    </row>
  </sheetData>
  <sheetProtection formatColumns="0" formatRows="0" insertRows="0" deleteColumns="0" deleteRows="0" sort="0" autoFilter="0"/>
  <mergeCells count="1">
    <mergeCell ref="C1:D1"/>
  </mergeCells>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312"/>
  <sheetViews>
    <sheetView showGridLines="0" workbookViewId="0"/>
  </sheetViews>
  <sheetFormatPr defaultColWidth="9.140625" defaultRowHeight="11.25" customHeight="1"/>
  <cols>
    <col min="1" max="2" width="9.140625" style="1775"/>
    <col min="3" max="3" width="20.7109375" style="1775" customWidth="1"/>
    <col min="4" max="4" width="25.140625" style="1775" customWidth="1"/>
    <col min="5" max="9" width="9.140625" style="1775"/>
  </cols>
  <sheetData>
    <row r="1" spans="1:9" ht="11.25" customHeight="1">
      <c r="A1" s="8" t="s">
        <v>2284</v>
      </c>
      <c r="B1" s="8" t="s">
        <v>2285</v>
      </c>
      <c r="C1" s="8" t="s">
        <v>2286</v>
      </c>
      <c r="D1" s="8" t="s">
        <v>2287</v>
      </c>
      <c r="E1" s="8" t="s">
        <v>2288</v>
      </c>
      <c r="F1" s="8" t="s">
        <v>2289</v>
      </c>
      <c r="G1" s="8" t="s">
        <v>2290</v>
      </c>
      <c r="H1" s="8" t="s">
        <v>2291</v>
      </c>
      <c r="I1" s="8" t="s">
        <v>2292</v>
      </c>
    </row>
    <row r="2" spans="1:9" ht="11.25" customHeight="1">
      <c r="A2" s="1775" t="s">
        <v>2293</v>
      </c>
      <c r="B2" s="1775" t="s">
        <v>16</v>
      </c>
      <c r="C2" s="1775" t="s">
        <v>2294</v>
      </c>
      <c r="D2" s="1775" t="s">
        <v>2295</v>
      </c>
      <c r="E2" s="1775" t="s">
        <v>2296</v>
      </c>
      <c r="F2" s="1775" t="s">
        <v>56</v>
      </c>
      <c r="G2" s="1775" t="s">
        <v>30</v>
      </c>
      <c r="H2" s="1775" t="s">
        <v>30</v>
      </c>
      <c r="I2" s="1775" t="s">
        <v>853</v>
      </c>
    </row>
    <row r="3" spans="1:9" ht="11.25" customHeight="1">
      <c r="A3" s="1775" t="s">
        <v>2293</v>
      </c>
      <c r="B3" s="1775" t="s">
        <v>16</v>
      </c>
      <c r="C3" s="1775" t="s">
        <v>2297</v>
      </c>
      <c r="D3" s="1775" t="s">
        <v>2298</v>
      </c>
      <c r="E3" s="1775" t="s">
        <v>2299</v>
      </c>
      <c r="F3" s="1775" t="s">
        <v>56</v>
      </c>
      <c r="G3" s="1775" t="s">
        <v>30</v>
      </c>
      <c r="H3" s="1775" t="s">
        <v>30</v>
      </c>
      <c r="I3" s="1775" t="s">
        <v>853</v>
      </c>
    </row>
    <row r="4" spans="1:9" ht="11.25" customHeight="1">
      <c r="A4" s="1775" t="s">
        <v>2293</v>
      </c>
      <c r="B4" s="1775" t="s">
        <v>16</v>
      </c>
      <c r="C4" s="1775" t="s">
        <v>2300</v>
      </c>
      <c r="D4" s="1775" t="s">
        <v>2301</v>
      </c>
      <c r="E4" s="1775" t="s">
        <v>2302</v>
      </c>
      <c r="F4" s="1775" t="s">
        <v>56</v>
      </c>
      <c r="G4" s="1775" t="s">
        <v>30</v>
      </c>
      <c r="H4" s="1775" t="s">
        <v>30</v>
      </c>
      <c r="I4" s="1775" t="s">
        <v>853</v>
      </c>
    </row>
    <row r="5" spans="1:9" ht="11.25" customHeight="1">
      <c r="A5" s="1775" t="s">
        <v>2293</v>
      </c>
      <c r="B5" s="1775" t="s">
        <v>16</v>
      </c>
      <c r="C5" s="1775" t="s">
        <v>2303</v>
      </c>
      <c r="D5" s="1775" t="s">
        <v>2304</v>
      </c>
      <c r="E5" s="1775" t="s">
        <v>2305</v>
      </c>
      <c r="F5" s="1775" t="s">
        <v>2306</v>
      </c>
      <c r="G5" s="1775" t="s">
        <v>2307</v>
      </c>
      <c r="H5" s="1775" t="s">
        <v>30</v>
      </c>
      <c r="I5" s="1775" t="s">
        <v>853</v>
      </c>
    </row>
    <row r="6" spans="1:9" ht="11.25" customHeight="1">
      <c r="A6" s="1775" t="s">
        <v>2293</v>
      </c>
      <c r="B6" s="1775" t="s">
        <v>16</v>
      </c>
      <c r="C6" s="1775" t="s">
        <v>2308</v>
      </c>
      <c r="D6" s="1775" t="s">
        <v>2309</v>
      </c>
      <c r="E6" s="1775" t="s">
        <v>2310</v>
      </c>
      <c r="F6" s="1775" t="s">
        <v>2311</v>
      </c>
      <c r="G6" s="1775" t="s">
        <v>30</v>
      </c>
      <c r="H6" s="1775" t="s">
        <v>30</v>
      </c>
      <c r="I6" s="1775" t="s">
        <v>853</v>
      </c>
    </row>
    <row r="7" spans="1:9" ht="11.25" customHeight="1">
      <c r="A7" s="1775" t="s">
        <v>2293</v>
      </c>
      <c r="B7" s="1775" t="s">
        <v>16</v>
      </c>
      <c r="C7" s="1775" t="s">
        <v>2312</v>
      </c>
      <c r="D7" s="1775" t="s">
        <v>2313</v>
      </c>
      <c r="E7" s="1775" t="s">
        <v>2314</v>
      </c>
      <c r="F7" s="1775" t="s">
        <v>2311</v>
      </c>
      <c r="G7" s="1775" t="s">
        <v>30</v>
      </c>
      <c r="H7" s="1775" t="s">
        <v>30</v>
      </c>
      <c r="I7" s="1775" t="s">
        <v>853</v>
      </c>
    </row>
    <row r="8" spans="1:9" ht="11.25" customHeight="1">
      <c r="A8" s="1775" t="s">
        <v>2293</v>
      </c>
      <c r="B8" s="1775" t="s">
        <v>16</v>
      </c>
      <c r="C8" s="1775" t="s">
        <v>2315</v>
      </c>
      <c r="D8" s="1775" t="s">
        <v>2316</v>
      </c>
      <c r="E8" s="1775" t="s">
        <v>2317</v>
      </c>
      <c r="F8" s="1775" t="s">
        <v>2318</v>
      </c>
      <c r="G8" s="1775" t="s">
        <v>30</v>
      </c>
      <c r="H8" s="1775" t="s">
        <v>30</v>
      </c>
      <c r="I8" s="1775" t="s">
        <v>853</v>
      </c>
    </row>
    <row r="9" spans="1:9" ht="11.25" customHeight="1">
      <c r="A9" s="1775" t="s">
        <v>2293</v>
      </c>
      <c r="B9" s="1775" t="s">
        <v>16</v>
      </c>
      <c r="C9" s="1775" t="s">
        <v>2319</v>
      </c>
      <c r="D9" s="1775" t="s">
        <v>2320</v>
      </c>
      <c r="E9" s="1775" t="s">
        <v>2321</v>
      </c>
      <c r="F9" s="1775" t="s">
        <v>56</v>
      </c>
      <c r="G9" s="1775" t="s">
        <v>30</v>
      </c>
      <c r="H9" s="1775" t="s">
        <v>30</v>
      </c>
      <c r="I9" s="1775" t="s">
        <v>853</v>
      </c>
    </row>
    <row r="10" spans="1:9" ht="11.25" customHeight="1">
      <c r="A10" s="1775" t="s">
        <v>2293</v>
      </c>
      <c r="B10" s="1775" t="s">
        <v>16</v>
      </c>
      <c r="C10" s="1775" t="s">
        <v>2322</v>
      </c>
      <c r="D10" s="1775" t="s">
        <v>2323</v>
      </c>
      <c r="E10" s="1775" t="s">
        <v>2324</v>
      </c>
      <c r="F10" s="1775" t="s">
        <v>2311</v>
      </c>
      <c r="G10" s="1775" t="s">
        <v>30</v>
      </c>
      <c r="H10" s="1775" t="s">
        <v>30</v>
      </c>
      <c r="I10" s="1775" t="s">
        <v>853</v>
      </c>
    </row>
    <row r="11" spans="1:9" ht="11.25" customHeight="1">
      <c r="A11" s="1775" t="s">
        <v>2293</v>
      </c>
      <c r="B11" s="1775" t="s">
        <v>16</v>
      </c>
      <c r="C11" s="1775" t="s">
        <v>2325</v>
      </c>
      <c r="D11" s="1775" t="s">
        <v>2326</v>
      </c>
      <c r="E11" s="1775" t="s">
        <v>2327</v>
      </c>
      <c r="F11" s="1775" t="s">
        <v>56</v>
      </c>
      <c r="G11" s="1775" t="s">
        <v>30</v>
      </c>
      <c r="H11" s="1775" t="s">
        <v>30</v>
      </c>
      <c r="I11" s="1775" t="s">
        <v>853</v>
      </c>
    </row>
    <row r="12" spans="1:9" ht="11.25" customHeight="1">
      <c r="A12" s="1775" t="s">
        <v>2293</v>
      </c>
      <c r="B12" s="1775" t="s">
        <v>16</v>
      </c>
      <c r="C12" s="1775" t="s">
        <v>2328</v>
      </c>
      <c r="D12" s="1775" t="s">
        <v>2329</v>
      </c>
      <c r="E12" s="1775" t="s">
        <v>2330</v>
      </c>
      <c r="F12" s="1775" t="s">
        <v>56</v>
      </c>
      <c r="G12" s="1775" t="s">
        <v>30</v>
      </c>
      <c r="H12" s="1775" t="s">
        <v>30</v>
      </c>
      <c r="I12" s="1775" t="s">
        <v>853</v>
      </c>
    </row>
    <row r="13" spans="1:9" ht="11.25" customHeight="1">
      <c r="A13" s="1775" t="s">
        <v>2293</v>
      </c>
      <c r="B13" s="1775" t="s">
        <v>16</v>
      </c>
      <c r="C13" s="1775" t="s">
        <v>2331</v>
      </c>
      <c r="D13" s="1775" t="s">
        <v>2332</v>
      </c>
      <c r="E13" s="1775" t="s">
        <v>2333</v>
      </c>
      <c r="F13" s="1775" t="s">
        <v>56</v>
      </c>
      <c r="G13" s="1775" t="s">
        <v>2334</v>
      </c>
      <c r="H13" s="1775" t="s">
        <v>30</v>
      </c>
      <c r="I13" s="1775" t="s">
        <v>853</v>
      </c>
    </row>
    <row r="14" spans="1:9" ht="11.25" customHeight="1">
      <c r="A14" s="1775" t="s">
        <v>2293</v>
      </c>
      <c r="B14" s="1775" t="s">
        <v>16</v>
      </c>
      <c r="C14" s="1775" t="s">
        <v>2335</v>
      </c>
      <c r="D14" s="1775" t="s">
        <v>2336</v>
      </c>
      <c r="E14" s="1775" t="s">
        <v>2337</v>
      </c>
      <c r="F14" s="1775" t="s">
        <v>56</v>
      </c>
      <c r="G14" s="1775" t="s">
        <v>30</v>
      </c>
      <c r="H14" s="1775" t="s">
        <v>30</v>
      </c>
      <c r="I14" s="1775" t="s">
        <v>853</v>
      </c>
    </row>
    <row r="15" spans="1:9" ht="11.25" customHeight="1">
      <c r="A15" s="1775" t="s">
        <v>2293</v>
      </c>
      <c r="B15" s="1775" t="s">
        <v>16</v>
      </c>
      <c r="C15" s="1775" t="s">
        <v>2338</v>
      </c>
      <c r="D15" s="1775" t="s">
        <v>2339</v>
      </c>
      <c r="E15" s="1775" t="s">
        <v>2340</v>
      </c>
      <c r="F15" s="1775" t="s">
        <v>56</v>
      </c>
      <c r="G15" s="1775" t="s">
        <v>30</v>
      </c>
      <c r="H15" s="1775" t="s">
        <v>30</v>
      </c>
      <c r="I15" s="1775" t="s">
        <v>853</v>
      </c>
    </row>
    <row r="16" spans="1:9" ht="11.25" customHeight="1">
      <c r="A16" s="1775" t="s">
        <v>2293</v>
      </c>
      <c r="B16" s="1775" t="s">
        <v>16</v>
      </c>
      <c r="C16" s="1775" t="s">
        <v>2341</v>
      </c>
      <c r="D16" s="1775" t="s">
        <v>2342</v>
      </c>
      <c r="E16" s="1775" t="s">
        <v>2343</v>
      </c>
      <c r="F16" s="1775" t="s">
        <v>2306</v>
      </c>
      <c r="G16" s="1775" t="s">
        <v>30</v>
      </c>
      <c r="H16" s="1775" t="s">
        <v>30</v>
      </c>
      <c r="I16" s="1775" t="s">
        <v>853</v>
      </c>
    </row>
    <row r="17" spans="1:9" ht="11.25" customHeight="1">
      <c r="A17" s="1775" t="s">
        <v>2293</v>
      </c>
      <c r="B17" s="1775" t="s">
        <v>16</v>
      </c>
      <c r="C17" s="1775" t="s">
        <v>2344</v>
      </c>
      <c r="D17" s="1775" t="s">
        <v>2345</v>
      </c>
      <c r="E17" s="1775" t="s">
        <v>2346</v>
      </c>
      <c r="F17" s="1775" t="s">
        <v>2347</v>
      </c>
      <c r="G17" s="1775" t="s">
        <v>2348</v>
      </c>
      <c r="H17" s="1775" t="s">
        <v>30</v>
      </c>
      <c r="I17" s="1775" t="s">
        <v>853</v>
      </c>
    </row>
    <row r="18" spans="1:9" ht="11.25" customHeight="1">
      <c r="A18" s="1775" t="s">
        <v>2293</v>
      </c>
      <c r="B18" s="1775" t="s">
        <v>16</v>
      </c>
      <c r="C18" s="1775" t="s">
        <v>2349</v>
      </c>
      <c r="D18" s="1775" t="s">
        <v>2350</v>
      </c>
      <c r="E18" s="1775" t="s">
        <v>2351</v>
      </c>
      <c r="F18" s="1775" t="s">
        <v>2352</v>
      </c>
      <c r="G18" s="1775" t="s">
        <v>2353</v>
      </c>
      <c r="H18" s="1775" t="s">
        <v>30</v>
      </c>
      <c r="I18" s="1775" t="s">
        <v>853</v>
      </c>
    </row>
    <row r="19" spans="1:9" ht="11.25" customHeight="1">
      <c r="A19" s="1775" t="s">
        <v>2293</v>
      </c>
      <c r="B19" s="1775" t="s">
        <v>16</v>
      </c>
      <c r="C19" s="1775" t="s">
        <v>2354</v>
      </c>
      <c r="D19" s="1775" t="s">
        <v>2355</v>
      </c>
      <c r="E19" s="1775" t="s">
        <v>2356</v>
      </c>
      <c r="F19" s="1775" t="s">
        <v>2311</v>
      </c>
      <c r="G19" s="1775" t="s">
        <v>2357</v>
      </c>
      <c r="H19" s="1775" t="s">
        <v>30</v>
      </c>
      <c r="I19" s="1775" t="s">
        <v>853</v>
      </c>
    </row>
    <row r="20" spans="1:9" ht="11.25" customHeight="1">
      <c r="A20" s="1775" t="s">
        <v>2293</v>
      </c>
      <c r="B20" s="1775" t="s">
        <v>16</v>
      </c>
      <c r="C20" s="1775" t="s">
        <v>2358</v>
      </c>
      <c r="D20" s="1775" t="s">
        <v>2359</v>
      </c>
      <c r="E20" s="1775" t="s">
        <v>2360</v>
      </c>
      <c r="F20" s="1775" t="s">
        <v>2311</v>
      </c>
      <c r="G20" s="1775" t="s">
        <v>2361</v>
      </c>
      <c r="H20" s="1775" t="s">
        <v>30</v>
      </c>
      <c r="I20" s="1775" t="s">
        <v>853</v>
      </c>
    </row>
    <row r="21" spans="1:9" ht="11.25" customHeight="1">
      <c r="A21" s="1775" t="s">
        <v>2293</v>
      </c>
      <c r="B21" s="1775" t="s">
        <v>16</v>
      </c>
      <c r="C21" s="1775" t="s">
        <v>2362</v>
      </c>
      <c r="D21" s="1775" t="s">
        <v>2363</v>
      </c>
      <c r="E21" s="1775" t="s">
        <v>2364</v>
      </c>
      <c r="F21" s="1775" t="s">
        <v>2365</v>
      </c>
      <c r="G21" s="1775" t="s">
        <v>30</v>
      </c>
      <c r="H21" s="1775" t="s">
        <v>30</v>
      </c>
      <c r="I21" s="1775" t="s">
        <v>853</v>
      </c>
    </row>
    <row r="22" spans="1:9" ht="11.25" customHeight="1">
      <c r="A22" s="1775" t="s">
        <v>2293</v>
      </c>
      <c r="B22" s="1775" t="s">
        <v>16</v>
      </c>
      <c r="C22" s="1775" t="s">
        <v>2366</v>
      </c>
      <c r="D22" s="1775" t="s">
        <v>2367</v>
      </c>
      <c r="E22" s="1775" t="s">
        <v>2368</v>
      </c>
      <c r="F22" s="1775" t="s">
        <v>2369</v>
      </c>
      <c r="G22" s="1775" t="s">
        <v>30</v>
      </c>
      <c r="H22" s="1775" t="s">
        <v>30</v>
      </c>
      <c r="I22" s="1775" t="s">
        <v>853</v>
      </c>
    </row>
    <row r="23" spans="1:9" ht="11.25" customHeight="1">
      <c r="A23" s="1775" t="s">
        <v>2293</v>
      </c>
      <c r="B23" s="1775" t="s">
        <v>16</v>
      </c>
      <c r="C23" s="1775" t="s">
        <v>2370</v>
      </c>
      <c r="D23" s="1775" t="s">
        <v>2371</v>
      </c>
      <c r="E23" s="1775" t="s">
        <v>2372</v>
      </c>
      <c r="F23" s="1775" t="s">
        <v>56</v>
      </c>
      <c r="G23" s="1775" t="s">
        <v>2373</v>
      </c>
      <c r="H23" s="1775" t="s">
        <v>30</v>
      </c>
      <c r="I23" s="1775" t="s">
        <v>853</v>
      </c>
    </row>
    <row r="24" spans="1:9" ht="11.25" customHeight="1">
      <c r="A24" s="1775" t="s">
        <v>2293</v>
      </c>
      <c r="B24" s="1775" t="s">
        <v>16</v>
      </c>
      <c r="C24" s="1775" t="s">
        <v>2374</v>
      </c>
      <c r="D24" s="1775" t="s">
        <v>2375</v>
      </c>
      <c r="E24" s="1775" t="s">
        <v>2376</v>
      </c>
      <c r="F24" s="1775" t="s">
        <v>2377</v>
      </c>
      <c r="G24" s="1775" t="s">
        <v>30</v>
      </c>
      <c r="H24" s="1775" t="s">
        <v>30</v>
      </c>
      <c r="I24" s="1775" t="s">
        <v>853</v>
      </c>
    </row>
    <row r="25" spans="1:9" ht="11.25" customHeight="1">
      <c r="A25" s="1775" t="s">
        <v>2293</v>
      </c>
      <c r="B25" s="1775" t="s">
        <v>16</v>
      </c>
      <c r="C25" s="1775" t="s">
        <v>2378</v>
      </c>
      <c r="D25" s="1775" t="s">
        <v>2379</v>
      </c>
      <c r="E25" s="1775" t="s">
        <v>2380</v>
      </c>
      <c r="F25" s="1775" t="s">
        <v>2369</v>
      </c>
      <c r="G25" s="1775" t="s">
        <v>30</v>
      </c>
      <c r="H25" s="1775" t="s">
        <v>30</v>
      </c>
      <c r="I25" s="1775" t="s">
        <v>853</v>
      </c>
    </row>
    <row r="26" spans="1:9" ht="11.25" customHeight="1">
      <c r="A26" s="1775" t="s">
        <v>2293</v>
      </c>
      <c r="B26" s="1775" t="s">
        <v>16</v>
      </c>
      <c r="C26" s="1775" t="s">
        <v>30</v>
      </c>
      <c r="D26" s="1775" t="s">
        <v>2381</v>
      </c>
      <c r="E26" s="1775" t="s">
        <v>2382</v>
      </c>
      <c r="F26" s="1775" t="s">
        <v>56</v>
      </c>
      <c r="G26" s="1775" t="s">
        <v>30</v>
      </c>
      <c r="H26" s="1775" t="s">
        <v>30</v>
      </c>
      <c r="I26" s="1775" t="s">
        <v>853</v>
      </c>
    </row>
    <row r="27" spans="1:9" ht="11.25" customHeight="1">
      <c r="A27" s="1775" t="s">
        <v>2293</v>
      </c>
      <c r="B27" s="1775" t="s">
        <v>16</v>
      </c>
      <c r="C27" s="1775" t="s">
        <v>2383</v>
      </c>
      <c r="D27" s="1775" t="s">
        <v>2384</v>
      </c>
      <c r="E27" s="1775" t="s">
        <v>2321</v>
      </c>
      <c r="F27" s="1775" t="s">
        <v>2352</v>
      </c>
      <c r="G27" s="1775" t="s">
        <v>30</v>
      </c>
      <c r="H27" s="1775" t="s">
        <v>30</v>
      </c>
      <c r="I27" s="1775" t="s">
        <v>853</v>
      </c>
    </row>
    <row r="28" spans="1:9" ht="11.25" customHeight="1">
      <c r="A28" s="1775" t="s">
        <v>2293</v>
      </c>
      <c r="B28" s="1775" t="s">
        <v>16</v>
      </c>
      <c r="C28" s="1775" t="s">
        <v>2385</v>
      </c>
      <c r="D28" s="1775" t="s">
        <v>2386</v>
      </c>
      <c r="E28" s="1775" t="s">
        <v>2387</v>
      </c>
      <c r="F28" s="1775" t="s">
        <v>56</v>
      </c>
      <c r="G28" s="1775" t="s">
        <v>2388</v>
      </c>
      <c r="H28" s="1775" t="s">
        <v>30</v>
      </c>
      <c r="I28" s="1775" t="s">
        <v>853</v>
      </c>
    </row>
    <row r="29" spans="1:9" ht="11.25" customHeight="1">
      <c r="A29" s="1775" t="s">
        <v>2293</v>
      </c>
      <c r="B29" s="1775" t="s">
        <v>16</v>
      </c>
      <c r="C29" s="1775" t="s">
        <v>2389</v>
      </c>
      <c r="D29" s="1775" t="s">
        <v>2390</v>
      </c>
      <c r="E29" s="1775" t="s">
        <v>2391</v>
      </c>
      <c r="F29" s="1775" t="s">
        <v>621</v>
      </c>
      <c r="G29" s="1775" t="s">
        <v>30</v>
      </c>
      <c r="H29" s="1775" t="s">
        <v>30</v>
      </c>
      <c r="I29" s="1775" t="s">
        <v>853</v>
      </c>
    </row>
    <row r="30" spans="1:9" ht="11.25" customHeight="1">
      <c r="A30" s="1775" t="s">
        <v>2293</v>
      </c>
      <c r="B30" s="1775" t="s">
        <v>16</v>
      </c>
      <c r="C30" s="1775" t="s">
        <v>2392</v>
      </c>
      <c r="D30" s="1775" t="s">
        <v>2393</v>
      </c>
      <c r="E30" s="1775" t="s">
        <v>2394</v>
      </c>
      <c r="F30" s="1775" t="s">
        <v>621</v>
      </c>
      <c r="G30" s="1775" t="s">
        <v>30</v>
      </c>
      <c r="H30" s="1775" t="s">
        <v>30</v>
      </c>
      <c r="I30" s="1775" t="s">
        <v>853</v>
      </c>
    </row>
    <row r="31" spans="1:9" ht="11.25" customHeight="1">
      <c r="A31" s="1775" t="s">
        <v>2293</v>
      </c>
      <c r="B31" s="1775" t="s">
        <v>16</v>
      </c>
      <c r="C31" s="1775" t="s">
        <v>2395</v>
      </c>
      <c r="D31" s="1775" t="s">
        <v>2396</v>
      </c>
      <c r="E31" s="1775" t="s">
        <v>2397</v>
      </c>
      <c r="F31" s="1775" t="s">
        <v>2398</v>
      </c>
      <c r="G31" s="1775" t="s">
        <v>30</v>
      </c>
      <c r="H31" s="1775" t="s">
        <v>30</v>
      </c>
      <c r="I31" s="1775" t="s">
        <v>853</v>
      </c>
    </row>
    <row r="32" spans="1:9" ht="11.25" customHeight="1">
      <c r="A32" s="1775" t="s">
        <v>2293</v>
      </c>
      <c r="B32" s="1775" t="s">
        <v>16</v>
      </c>
      <c r="C32" s="1775" t="s">
        <v>2399</v>
      </c>
      <c r="D32" s="1775" t="s">
        <v>2400</v>
      </c>
      <c r="E32" s="1775" t="s">
        <v>2401</v>
      </c>
      <c r="F32" s="1775" t="s">
        <v>2311</v>
      </c>
      <c r="G32" s="1775" t="s">
        <v>30</v>
      </c>
      <c r="H32" s="1775" t="s">
        <v>30</v>
      </c>
      <c r="I32" s="1775" t="s">
        <v>853</v>
      </c>
    </row>
    <row r="33" spans="1:9" ht="11.25" customHeight="1">
      <c r="A33" s="1775" t="s">
        <v>2293</v>
      </c>
      <c r="B33" s="1775" t="s">
        <v>16</v>
      </c>
      <c r="C33" s="1775" t="s">
        <v>2402</v>
      </c>
      <c r="D33" s="1775" t="s">
        <v>2403</v>
      </c>
      <c r="E33" s="1775" t="s">
        <v>2404</v>
      </c>
      <c r="F33" s="1775" t="s">
        <v>2405</v>
      </c>
      <c r="G33" s="1775" t="s">
        <v>30</v>
      </c>
      <c r="H33" s="1775" t="s">
        <v>30</v>
      </c>
      <c r="I33" s="1775" t="s">
        <v>853</v>
      </c>
    </row>
    <row r="34" spans="1:9" ht="11.25" customHeight="1">
      <c r="A34" s="1775" t="s">
        <v>2293</v>
      </c>
      <c r="B34" s="1775" t="s">
        <v>16</v>
      </c>
      <c r="C34" s="1775" t="s">
        <v>2406</v>
      </c>
      <c r="D34" s="1775" t="s">
        <v>2407</v>
      </c>
      <c r="E34" s="1775" t="s">
        <v>2408</v>
      </c>
      <c r="F34" s="1775" t="s">
        <v>2405</v>
      </c>
      <c r="G34" s="1775" t="s">
        <v>30</v>
      </c>
      <c r="H34" s="1775" t="s">
        <v>30</v>
      </c>
      <c r="I34" s="1775" t="s">
        <v>853</v>
      </c>
    </row>
    <row r="35" spans="1:9" ht="11.25" customHeight="1">
      <c r="A35" s="1775" t="s">
        <v>2293</v>
      </c>
      <c r="B35" s="1775" t="s">
        <v>16</v>
      </c>
      <c r="C35" s="1775" t="s">
        <v>2409</v>
      </c>
      <c r="D35" s="1775" t="s">
        <v>2410</v>
      </c>
      <c r="E35" s="1775" t="s">
        <v>2411</v>
      </c>
      <c r="F35" s="1775" t="s">
        <v>2405</v>
      </c>
      <c r="G35" s="1775" t="s">
        <v>30</v>
      </c>
      <c r="H35" s="1775" t="s">
        <v>30</v>
      </c>
      <c r="I35" s="1775" t="s">
        <v>853</v>
      </c>
    </row>
    <row r="36" spans="1:9" ht="11.25" customHeight="1">
      <c r="A36" s="1775" t="s">
        <v>2293</v>
      </c>
      <c r="B36" s="1775" t="s">
        <v>16</v>
      </c>
      <c r="C36" s="1775" t="s">
        <v>2412</v>
      </c>
      <c r="D36" s="1775" t="s">
        <v>2413</v>
      </c>
      <c r="E36" s="1775" t="s">
        <v>2414</v>
      </c>
      <c r="F36" s="1775" t="s">
        <v>2369</v>
      </c>
      <c r="G36" s="1775" t="s">
        <v>30</v>
      </c>
      <c r="H36" s="1775" t="s">
        <v>30</v>
      </c>
      <c r="I36" s="1775" t="s">
        <v>853</v>
      </c>
    </row>
    <row r="37" spans="1:9" ht="11.25" customHeight="1">
      <c r="A37" s="1775" t="s">
        <v>2293</v>
      </c>
      <c r="B37" s="1775" t="s">
        <v>16</v>
      </c>
      <c r="C37" s="1775" t="s">
        <v>2415</v>
      </c>
      <c r="D37" s="1775" t="s">
        <v>2416</v>
      </c>
      <c r="E37" s="1775" t="s">
        <v>2417</v>
      </c>
      <c r="F37" s="1775" t="s">
        <v>2369</v>
      </c>
      <c r="G37" s="1775" t="s">
        <v>30</v>
      </c>
      <c r="H37" s="1775" t="s">
        <v>30</v>
      </c>
      <c r="I37" s="1775" t="s">
        <v>853</v>
      </c>
    </row>
    <row r="38" spans="1:9" ht="11.25" customHeight="1">
      <c r="A38" s="1775" t="s">
        <v>2293</v>
      </c>
      <c r="B38" s="1775" t="s">
        <v>16</v>
      </c>
      <c r="C38" s="1775" t="s">
        <v>2418</v>
      </c>
      <c r="D38" s="1775" t="s">
        <v>2419</v>
      </c>
      <c r="E38" s="1775" t="s">
        <v>2420</v>
      </c>
      <c r="F38" s="1775" t="s">
        <v>2311</v>
      </c>
      <c r="G38" s="1775" t="s">
        <v>30</v>
      </c>
      <c r="H38" s="1775" t="s">
        <v>30</v>
      </c>
      <c r="I38" s="1775" t="s">
        <v>853</v>
      </c>
    </row>
    <row r="39" spans="1:9" ht="11.25" customHeight="1">
      <c r="A39" s="1775" t="s">
        <v>2293</v>
      </c>
      <c r="B39" s="1775" t="s">
        <v>16</v>
      </c>
      <c r="C39" s="1775" t="s">
        <v>2421</v>
      </c>
      <c r="D39" s="1775" t="s">
        <v>2422</v>
      </c>
      <c r="E39" s="1775" t="s">
        <v>2423</v>
      </c>
      <c r="F39" s="1775" t="s">
        <v>2311</v>
      </c>
      <c r="G39" s="1775" t="s">
        <v>30</v>
      </c>
      <c r="H39" s="1775" t="s">
        <v>30</v>
      </c>
      <c r="I39" s="1775" t="s">
        <v>853</v>
      </c>
    </row>
    <row r="40" spans="1:9" ht="11.25" customHeight="1">
      <c r="A40" s="1775" t="s">
        <v>2293</v>
      </c>
      <c r="B40" s="1775" t="s">
        <v>16</v>
      </c>
      <c r="C40" s="1775" t="s">
        <v>2424</v>
      </c>
      <c r="D40" s="1775" t="s">
        <v>2425</v>
      </c>
      <c r="E40" s="1775" t="s">
        <v>2426</v>
      </c>
      <c r="F40" s="1775" t="s">
        <v>2405</v>
      </c>
      <c r="G40" s="1775" t="s">
        <v>2427</v>
      </c>
      <c r="H40" s="1775" t="s">
        <v>30</v>
      </c>
      <c r="I40" s="1775" t="s">
        <v>853</v>
      </c>
    </row>
    <row r="41" spans="1:9" ht="11.25" customHeight="1">
      <c r="A41" s="1775" t="s">
        <v>2293</v>
      </c>
      <c r="B41" s="1775" t="s">
        <v>16</v>
      </c>
      <c r="C41" s="1775" t="s">
        <v>2428</v>
      </c>
      <c r="D41" s="1775" t="s">
        <v>2429</v>
      </c>
      <c r="E41" s="1775" t="s">
        <v>2430</v>
      </c>
      <c r="F41" s="1775" t="s">
        <v>2369</v>
      </c>
      <c r="G41" s="1775" t="s">
        <v>30</v>
      </c>
      <c r="H41" s="1775" t="s">
        <v>30</v>
      </c>
      <c r="I41" s="1775" t="s">
        <v>853</v>
      </c>
    </row>
    <row r="42" spans="1:9" ht="11.25" customHeight="1">
      <c r="A42" s="1775" t="s">
        <v>2293</v>
      </c>
      <c r="B42" s="1775" t="s">
        <v>16</v>
      </c>
      <c r="C42" s="1775" t="s">
        <v>2431</v>
      </c>
      <c r="D42" s="1775" t="s">
        <v>2432</v>
      </c>
      <c r="E42" s="1775" t="s">
        <v>2433</v>
      </c>
      <c r="F42" s="1775" t="s">
        <v>2405</v>
      </c>
      <c r="G42" s="1775" t="s">
        <v>30</v>
      </c>
      <c r="H42" s="1775" t="s">
        <v>30</v>
      </c>
      <c r="I42" s="1775" t="s">
        <v>853</v>
      </c>
    </row>
    <row r="43" spans="1:9" ht="11.25" customHeight="1">
      <c r="A43" s="1775" t="s">
        <v>2293</v>
      </c>
      <c r="B43" s="1775" t="s">
        <v>16</v>
      </c>
      <c r="C43" s="1775" t="s">
        <v>2434</v>
      </c>
      <c r="D43" s="1775" t="s">
        <v>2435</v>
      </c>
      <c r="E43" s="1775" t="s">
        <v>2436</v>
      </c>
      <c r="F43" s="1775" t="s">
        <v>2437</v>
      </c>
      <c r="G43" s="1775" t="s">
        <v>30</v>
      </c>
      <c r="H43" s="1775" t="s">
        <v>30</v>
      </c>
      <c r="I43" s="1775" t="s">
        <v>853</v>
      </c>
    </row>
    <row r="44" spans="1:9" ht="11.25" customHeight="1">
      <c r="A44" s="1775" t="s">
        <v>2293</v>
      </c>
      <c r="B44" s="1775" t="s">
        <v>16</v>
      </c>
      <c r="C44" s="1775" t="s">
        <v>2438</v>
      </c>
      <c r="D44" s="1775" t="s">
        <v>2439</v>
      </c>
      <c r="E44" s="1775" t="s">
        <v>2440</v>
      </c>
      <c r="F44" s="1775" t="s">
        <v>2365</v>
      </c>
      <c r="G44" s="1775" t="s">
        <v>30</v>
      </c>
      <c r="H44" s="1775" t="s">
        <v>30</v>
      </c>
      <c r="I44" s="1775" t="s">
        <v>853</v>
      </c>
    </row>
    <row r="45" spans="1:9" ht="11.25" customHeight="1">
      <c r="A45" s="1775" t="s">
        <v>2293</v>
      </c>
      <c r="B45" s="1775" t="s">
        <v>16</v>
      </c>
      <c r="C45" s="1775" t="s">
        <v>2441</v>
      </c>
      <c r="D45" s="1775" t="s">
        <v>2442</v>
      </c>
      <c r="E45" s="1775" t="s">
        <v>2443</v>
      </c>
      <c r="F45" s="1775" t="s">
        <v>2405</v>
      </c>
      <c r="G45" s="1775" t="s">
        <v>30</v>
      </c>
      <c r="H45" s="1775" t="s">
        <v>30</v>
      </c>
      <c r="I45" s="1775" t="s">
        <v>853</v>
      </c>
    </row>
    <row r="46" spans="1:9" ht="11.25" customHeight="1">
      <c r="A46" s="1775" t="s">
        <v>2293</v>
      </c>
      <c r="B46" s="1775" t="s">
        <v>16</v>
      </c>
      <c r="C46" s="1775" t="s">
        <v>2444</v>
      </c>
      <c r="D46" s="1775" t="s">
        <v>2445</v>
      </c>
      <c r="E46" s="1775" t="s">
        <v>2446</v>
      </c>
      <c r="F46" s="1775" t="s">
        <v>2369</v>
      </c>
      <c r="G46" s="1775" t="s">
        <v>30</v>
      </c>
      <c r="H46" s="1775" t="s">
        <v>30</v>
      </c>
      <c r="I46" s="1775" t="s">
        <v>853</v>
      </c>
    </row>
    <row r="47" spans="1:9" ht="11.25" customHeight="1">
      <c r="A47" s="1775" t="s">
        <v>2293</v>
      </c>
      <c r="B47" s="1775" t="s">
        <v>16</v>
      </c>
      <c r="C47" s="1775" t="s">
        <v>2447</v>
      </c>
      <c r="D47" s="1775" t="s">
        <v>2448</v>
      </c>
      <c r="E47" s="1775" t="s">
        <v>2449</v>
      </c>
      <c r="F47" s="1775" t="s">
        <v>2405</v>
      </c>
      <c r="G47" s="1775" t="s">
        <v>30</v>
      </c>
      <c r="H47" s="1775" t="s">
        <v>30</v>
      </c>
      <c r="I47" s="1775" t="s">
        <v>853</v>
      </c>
    </row>
    <row r="48" spans="1:9" ht="11.25" customHeight="1">
      <c r="A48" s="1775" t="s">
        <v>2293</v>
      </c>
      <c r="B48" s="1775" t="s">
        <v>16</v>
      </c>
      <c r="C48" s="1775" t="s">
        <v>2450</v>
      </c>
      <c r="D48" s="1775" t="s">
        <v>2451</v>
      </c>
      <c r="E48" s="1775" t="s">
        <v>2452</v>
      </c>
      <c r="F48" s="1775" t="s">
        <v>2311</v>
      </c>
      <c r="G48" s="1775" t="s">
        <v>30</v>
      </c>
      <c r="H48" s="1775" t="s">
        <v>30</v>
      </c>
      <c r="I48" s="1775" t="s">
        <v>853</v>
      </c>
    </row>
    <row r="49" spans="1:9" ht="11.25" customHeight="1">
      <c r="A49" s="1775" t="s">
        <v>2293</v>
      </c>
      <c r="B49" s="1775" t="s">
        <v>16</v>
      </c>
      <c r="C49" s="1775" t="s">
        <v>2453</v>
      </c>
      <c r="D49" s="1775" t="s">
        <v>2454</v>
      </c>
      <c r="E49" s="1775" t="s">
        <v>2455</v>
      </c>
      <c r="F49" s="1775" t="s">
        <v>2365</v>
      </c>
      <c r="G49" s="1775" t="s">
        <v>30</v>
      </c>
      <c r="H49" s="1775" t="s">
        <v>30</v>
      </c>
      <c r="I49" s="1775" t="s">
        <v>853</v>
      </c>
    </row>
    <row r="50" spans="1:9" ht="11.25" customHeight="1">
      <c r="A50" s="1775" t="s">
        <v>2293</v>
      </c>
      <c r="B50" s="1775" t="s">
        <v>16</v>
      </c>
      <c r="C50" s="1775" t="s">
        <v>2456</v>
      </c>
      <c r="D50" s="1775" t="s">
        <v>2457</v>
      </c>
      <c r="E50" s="1775" t="s">
        <v>2458</v>
      </c>
      <c r="F50" s="1775" t="s">
        <v>2405</v>
      </c>
      <c r="G50" s="1775" t="s">
        <v>30</v>
      </c>
      <c r="H50" s="1775" t="s">
        <v>30</v>
      </c>
      <c r="I50" s="1775" t="s">
        <v>853</v>
      </c>
    </row>
    <row r="51" spans="1:9" ht="11.25" customHeight="1">
      <c r="A51" s="1775" t="s">
        <v>2293</v>
      </c>
      <c r="B51" s="1775" t="s">
        <v>16</v>
      </c>
      <c r="C51" s="1775" t="s">
        <v>2459</v>
      </c>
      <c r="D51" s="1775" t="s">
        <v>2460</v>
      </c>
      <c r="E51" s="1775" t="s">
        <v>2461</v>
      </c>
      <c r="F51" s="1775" t="s">
        <v>2462</v>
      </c>
      <c r="G51" s="1775" t="s">
        <v>30</v>
      </c>
      <c r="H51" s="1775" t="s">
        <v>30</v>
      </c>
      <c r="I51" s="1775" t="s">
        <v>853</v>
      </c>
    </row>
    <row r="52" spans="1:9" ht="11.25" customHeight="1">
      <c r="A52" s="1775" t="s">
        <v>2293</v>
      </c>
      <c r="B52" s="1775" t="s">
        <v>16</v>
      </c>
      <c r="C52" s="1775" t="s">
        <v>2463</v>
      </c>
      <c r="D52" s="1775" t="s">
        <v>2464</v>
      </c>
      <c r="E52" s="1775" t="s">
        <v>2465</v>
      </c>
      <c r="F52" s="1775" t="s">
        <v>56</v>
      </c>
      <c r="G52" s="1775" t="s">
        <v>30</v>
      </c>
      <c r="H52" s="1775" t="s">
        <v>30</v>
      </c>
      <c r="I52" s="1775" t="s">
        <v>853</v>
      </c>
    </row>
    <row r="53" spans="1:9" ht="11.25" customHeight="1">
      <c r="A53" s="1775" t="s">
        <v>2293</v>
      </c>
      <c r="B53" s="1775" t="s">
        <v>16</v>
      </c>
      <c r="C53" s="1775" t="s">
        <v>2466</v>
      </c>
      <c r="D53" s="1775" t="s">
        <v>2467</v>
      </c>
      <c r="E53" s="1775" t="s">
        <v>2468</v>
      </c>
      <c r="F53" s="1775" t="s">
        <v>56</v>
      </c>
      <c r="G53" s="1775" t="s">
        <v>30</v>
      </c>
      <c r="H53" s="1775" t="s">
        <v>30</v>
      </c>
      <c r="I53" s="1775" t="s">
        <v>853</v>
      </c>
    </row>
    <row r="54" spans="1:9" ht="11.25" customHeight="1">
      <c r="A54" s="1775" t="s">
        <v>2293</v>
      </c>
      <c r="B54" s="1775" t="s">
        <v>16</v>
      </c>
      <c r="C54" s="1775" t="s">
        <v>2469</v>
      </c>
      <c r="D54" s="1775" t="s">
        <v>2470</v>
      </c>
      <c r="E54" s="1775" t="s">
        <v>2471</v>
      </c>
      <c r="F54" s="1775" t="s">
        <v>2365</v>
      </c>
      <c r="G54" s="1775" t="s">
        <v>30</v>
      </c>
      <c r="H54" s="1775" t="s">
        <v>30</v>
      </c>
      <c r="I54" s="1775" t="s">
        <v>853</v>
      </c>
    </row>
    <row r="55" spans="1:9" ht="11.25" customHeight="1">
      <c r="A55" s="1775" t="s">
        <v>2293</v>
      </c>
      <c r="B55" s="1775" t="s">
        <v>16</v>
      </c>
      <c r="C55" s="1775" t="s">
        <v>2472</v>
      </c>
      <c r="D55" s="1775" t="s">
        <v>2473</v>
      </c>
      <c r="E55" s="1775" t="s">
        <v>2474</v>
      </c>
      <c r="F55" s="1775" t="s">
        <v>56</v>
      </c>
      <c r="G55" s="1775" t="s">
        <v>30</v>
      </c>
      <c r="H55" s="1775" t="s">
        <v>30</v>
      </c>
      <c r="I55" s="1775" t="s">
        <v>853</v>
      </c>
    </row>
    <row r="56" spans="1:9" ht="11.25" customHeight="1">
      <c r="A56" s="1775" t="s">
        <v>2293</v>
      </c>
      <c r="B56" s="1775" t="s">
        <v>16</v>
      </c>
      <c r="C56" s="1775" t="s">
        <v>2475</v>
      </c>
      <c r="D56" s="1775" t="s">
        <v>2476</v>
      </c>
      <c r="E56" s="1775" t="s">
        <v>2477</v>
      </c>
      <c r="F56" s="1775" t="s">
        <v>2369</v>
      </c>
      <c r="G56" s="1775" t="s">
        <v>30</v>
      </c>
      <c r="H56" s="1775" t="s">
        <v>30</v>
      </c>
      <c r="I56" s="1775" t="s">
        <v>853</v>
      </c>
    </row>
    <row r="57" spans="1:9" ht="11.25" customHeight="1">
      <c r="A57" s="1775" t="s">
        <v>2293</v>
      </c>
      <c r="B57" s="1775" t="s">
        <v>16</v>
      </c>
      <c r="C57" s="1775" t="s">
        <v>2478</v>
      </c>
      <c r="D57" s="1775" t="s">
        <v>2479</v>
      </c>
      <c r="E57" s="1775" t="s">
        <v>2480</v>
      </c>
      <c r="F57" s="1775" t="s">
        <v>2481</v>
      </c>
      <c r="G57" s="1775" t="s">
        <v>2482</v>
      </c>
      <c r="H57" s="1775" t="s">
        <v>30</v>
      </c>
      <c r="I57" s="1775" t="s">
        <v>853</v>
      </c>
    </row>
    <row r="58" spans="1:9" ht="11.25" customHeight="1">
      <c r="A58" s="1775" t="s">
        <v>2293</v>
      </c>
      <c r="B58" s="1775" t="s">
        <v>16</v>
      </c>
      <c r="C58" s="1775" t="s">
        <v>2483</v>
      </c>
      <c r="D58" s="1775" t="s">
        <v>2484</v>
      </c>
      <c r="E58" s="1775" t="s">
        <v>2480</v>
      </c>
      <c r="F58" s="1775" t="s">
        <v>2485</v>
      </c>
      <c r="G58" s="1775" t="s">
        <v>30</v>
      </c>
      <c r="H58" s="1775" t="s">
        <v>30</v>
      </c>
      <c r="I58" s="1775" t="s">
        <v>853</v>
      </c>
    </row>
    <row r="59" spans="1:9" ht="11.25" customHeight="1">
      <c r="A59" s="1775" t="s">
        <v>2293</v>
      </c>
      <c r="B59" s="1775" t="s">
        <v>16</v>
      </c>
      <c r="C59" s="1775" t="s">
        <v>2486</v>
      </c>
      <c r="D59" s="1775" t="s">
        <v>2487</v>
      </c>
      <c r="E59" s="1775" t="s">
        <v>2480</v>
      </c>
      <c r="F59" s="1775" t="s">
        <v>2488</v>
      </c>
      <c r="G59" s="1775" t="s">
        <v>30</v>
      </c>
      <c r="H59" s="1775" t="s">
        <v>30</v>
      </c>
      <c r="I59" s="1775" t="s">
        <v>853</v>
      </c>
    </row>
    <row r="60" spans="1:9" ht="11.25" customHeight="1">
      <c r="A60" s="1775" t="s">
        <v>2293</v>
      </c>
      <c r="B60" s="1775" t="s">
        <v>16</v>
      </c>
      <c r="C60" s="1775" t="s">
        <v>2489</v>
      </c>
      <c r="D60" s="1775" t="s">
        <v>2490</v>
      </c>
      <c r="E60" s="1775" t="s">
        <v>2480</v>
      </c>
      <c r="F60" s="1775" t="s">
        <v>2491</v>
      </c>
      <c r="G60" s="1775" t="s">
        <v>30</v>
      </c>
      <c r="H60" s="1775" t="s">
        <v>30</v>
      </c>
      <c r="I60" s="1775" t="s">
        <v>853</v>
      </c>
    </row>
    <row r="61" spans="1:9" ht="11.25" customHeight="1">
      <c r="A61" s="1775" t="s">
        <v>2293</v>
      </c>
      <c r="B61" s="1775" t="s">
        <v>16</v>
      </c>
      <c r="C61" s="1775" t="s">
        <v>2492</v>
      </c>
      <c r="D61" s="1775" t="s">
        <v>2493</v>
      </c>
      <c r="E61" s="1775" t="s">
        <v>2480</v>
      </c>
      <c r="F61" s="1775" t="s">
        <v>2494</v>
      </c>
      <c r="G61" s="1775" t="s">
        <v>30</v>
      </c>
      <c r="H61" s="1775" t="s">
        <v>30</v>
      </c>
      <c r="I61" s="1775" t="s">
        <v>853</v>
      </c>
    </row>
    <row r="62" spans="1:9" ht="11.25" customHeight="1">
      <c r="A62" s="1775" t="s">
        <v>2293</v>
      </c>
      <c r="B62" s="1775" t="s">
        <v>16</v>
      </c>
      <c r="C62" s="1775" t="s">
        <v>2495</v>
      </c>
      <c r="D62" s="1775" t="s">
        <v>2496</v>
      </c>
      <c r="E62" s="1775" t="s">
        <v>2480</v>
      </c>
      <c r="F62" s="1775" t="s">
        <v>2497</v>
      </c>
      <c r="G62" s="1775" t="s">
        <v>30</v>
      </c>
      <c r="H62" s="1775" t="s">
        <v>30</v>
      </c>
      <c r="I62" s="1775" t="s">
        <v>853</v>
      </c>
    </row>
    <row r="63" spans="1:9" ht="11.25" customHeight="1">
      <c r="A63" s="1775" t="s">
        <v>2293</v>
      </c>
      <c r="B63" s="1775" t="s">
        <v>16</v>
      </c>
      <c r="C63" s="1775" t="s">
        <v>2498</v>
      </c>
      <c r="D63" s="1775" t="s">
        <v>2499</v>
      </c>
      <c r="E63" s="1775" t="s">
        <v>2480</v>
      </c>
      <c r="F63" s="1775" t="s">
        <v>2500</v>
      </c>
      <c r="G63" s="1775" t="s">
        <v>30</v>
      </c>
      <c r="H63" s="1775" t="s">
        <v>30</v>
      </c>
      <c r="I63" s="1775" t="s">
        <v>853</v>
      </c>
    </row>
    <row r="64" spans="1:9" ht="11.25" customHeight="1">
      <c r="A64" s="1775" t="s">
        <v>2293</v>
      </c>
      <c r="B64" s="1775" t="s">
        <v>16</v>
      </c>
      <c r="C64" s="1775" t="s">
        <v>2501</v>
      </c>
      <c r="D64" s="1775" t="s">
        <v>2502</v>
      </c>
      <c r="E64" s="1775" t="s">
        <v>2503</v>
      </c>
      <c r="F64" s="1775" t="s">
        <v>2377</v>
      </c>
      <c r="G64" s="1775" t="s">
        <v>30</v>
      </c>
      <c r="H64" s="1775" t="s">
        <v>30</v>
      </c>
      <c r="I64" s="1775" t="s">
        <v>853</v>
      </c>
    </row>
    <row r="65" spans="1:9" ht="11.25" customHeight="1">
      <c r="A65" s="1775" t="s">
        <v>2293</v>
      </c>
      <c r="B65" s="1775" t="s">
        <v>16</v>
      </c>
      <c r="C65" s="1775" t="s">
        <v>2504</v>
      </c>
      <c r="D65" s="1775" t="s">
        <v>2505</v>
      </c>
      <c r="E65" s="1775" t="s">
        <v>2506</v>
      </c>
      <c r="F65" s="1775" t="s">
        <v>56</v>
      </c>
      <c r="G65" s="1775" t="s">
        <v>2507</v>
      </c>
      <c r="H65" s="1775" t="s">
        <v>30</v>
      </c>
      <c r="I65" s="1775" t="s">
        <v>853</v>
      </c>
    </row>
    <row r="66" spans="1:9" ht="11.25" customHeight="1">
      <c r="A66" s="1775" t="s">
        <v>2293</v>
      </c>
      <c r="B66" s="1775" t="s">
        <v>16</v>
      </c>
      <c r="C66" s="1775" t="s">
        <v>2508</v>
      </c>
      <c r="D66" s="1775" t="s">
        <v>2509</v>
      </c>
      <c r="E66" s="1775" t="s">
        <v>2510</v>
      </c>
      <c r="F66" s="1775" t="s">
        <v>56</v>
      </c>
      <c r="G66" s="1775" t="s">
        <v>30</v>
      </c>
      <c r="H66" s="1775" t="s">
        <v>2511</v>
      </c>
      <c r="I66" s="1775" t="s">
        <v>853</v>
      </c>
    </row>
    <row r="67" spans="1:9" ht="11.25" customHeight="1">
      <c r="A67" s="1775" t="s">
        <v>2293</v>
      </c>
      <c r="B67" s="1775" t="s">
        <v>16</v>
      </c>
      <c r="C67" s="1775" t="s">
        <v>2512</v>
      </c>
      <c r="D67" s="1775" t="s">
        <v>2513</v>
      </c>
      <c r="E67" s="1775" t="s">
        <v>2514</v>
      </c>
      <c r="F67" s="1775" t="s">
        <v>2311</v>
      </c>
      <c r="G67" s="1775" t="s">
        <v>2515</v>
      </c>
      <c r="H67" s="1775" t="s">
        <v>30</v>
      </c>
      <c r="I67" s="1775" t="s">
        <v>853</v>
      </c>
    </row>
    <row r="68" spans="1:9" ht="11.25" customHeight="1">
      <c r="A68" s="1775" t="s">
        <v>2293</v>
      </c>
      <c r="B68" s="1775" t="s">
        <v>16</v>
      </c>
      <c r="C68" s="1775" t="s">
        <v>2516</v>
      </c>
      <c r="D68" s="1775" t="s">
        <v>2517</v>
      </c>
      <c r="E68" s="1775" t="s">
        <v>2518</v>
      </c>
      <c r="F68" s="1775" t="s">
        <v>2369</v>
      </c>
      <c r="G68" s="1775" t="s">
        <v>30</v>
      </c>
      <c r="H68" s="1775" t="s">
        <v>30</v>
      </c>
      <c r="I68" s="1775" t="s">
        <v>853</v>
      </c>
    </row>
    <row r="69" spans="1:9" ht="11.25" customHeight="1">
      <c r="A69" s="1775" t="s">
        <v>2293</v>
      </c>
      <c r="B69" s="1775" t="s">
        <v>16</v>
      </c>
      <c r="C69" s="1775" t="s">
        <v>2519</v>
      </c>
      <c r="D69" s="1775" t="s">
        <v>2520</v>
      </c>
      <c r="E69" s="1775" t="s">
        <v>2521</v>
      </c>
      <c r="F69" s="1775" t="s">
        <v>2405</v>
      </c>
      <c r="G69" s="1775" t="s">
        <v>30</v>
      </c>
      <c r="H69" s="1775" t="s">
        <v>30</v>
      </c>
      <c r="I69" s="1775" t="s">
        <v>853</v>
      </c>
    </row>
    <row r="70" spans="1:9" ht="11.25" customHeight="1">
      <c r="A70" s="1775" t="s">
        <v>2293</v>
      </c>
      <c r="B70" s="1775" t="s">
        <v>16</v>
      </c>
      <c r="C70" s="1775" t="s">
        <v>2522</v>
      </c>
      <c r="D70" s="1775" t="s">
        <v>2523</v>
      </c>
      <c r="E70" s="1775" t="s">
        <v>2524</v>
      </c>
      <c r="F70" s="1775" t="s">
        <v>56</v>
      </c>
      <c r="G70" s="1775" t="s">
        <v>30</v>
      </c>
      <c r="H70" s="1775" t="s">
        <v>30</v>
      </c>
      <c r="I70" s="1775" t="s">
        <v>853</v>
      </c>
    </row>
    <row r="71" spans="1:9" ht="11.25" customHeight="1">
      <c r="A71" s="1775" t="s">
        <v>2293</v>
      </c>
      <c r="B71" s="1775" t="s">
        <v>16</v>
      </c>
      <c r="C71" s="1775" t="s">
        <v>2525</v>
      </c>
      <c r="D71" s="1775" t="s">
        <v>2526</v>
      </c>
      <c r="E71" s="1775" t="s">
        <v>2527</v>
      </c>
      <c r="F71" s="1775" t="s">
        <v>2311</v>
      </c>
      <c r="G71" s="1775" t="s">
        <v>30</v>
      </c>
      <c r="H71" s="1775" t="s">
        <v>30</v>
      </c>
      <c r="I71" s="1775" t="s">
        <v>853</v>
      </c>
    </row>
    <row r="72" spans="1:9" ht="11.25" customHeight="1">
      <c r="A72" s="1775" t="s">
        <v>2293</v>
      </c>
      <c r="B72" s="1775" t="s">
        <v>16</v>
      </c>
      <c r="C72" s="1775" t="s">
        <v>2528</v>
      </c>
      <c r="D72" s="1775" t="s">
        <v>2529</v>
      </c>
      <c r="E72" s="1775" t="s">
        <v>2530</v>
      </c>
      <c r="F72" s="1775" t="s">
        <v>56</v>
      </c>
      <c r="G72" s="1775" t="s">
        <v>30</v>
      </c>
      <c r="H72" s="1775" t="s">
        <v>30</v>
      </c>
      <c r="I72" s="1775" t="s">
        <v>853</v>
      </c>
    </row>
    <row r="73" spans="1:9" ht="11.25" customHeight="1">
      <c r="A73" s="1775" t="s">
        <v>2293</v>
      </c>
      <c r="B73" s="1775" t="s">
        <v>16</v>
      </c>
      <c r="C73" s="1775" t="s">
        <v>2531</v>
      </c>
      <c r="D73" s="1775" t="s">
        <v>2532</v>
      </c>
      <c r="E73" s="1775" t="s">
        <v>2533</v>
      </c>
      <c r="F73" s="1775" t="s">
        <v>2377</v>
      </c>
      <c r="G73" s="1775" t="s">
        <v>2534</v>
      </c>
      <c r="H73" s="1775" t="s">
        <v>30</v>
      </c>
      <c r="I73" s="1775" t="s">
        <v>853</v>
      </c>
    </row>
    <row r="74" spans="1:9" ht="11.25" customHeight="1">
      <c r="A74" s="1775" t="s">
        <v>2293</v>
      </c>
      <c r="B74" s="1775" t="s">
        <v>16</v>
      </c>
      <c r="C74" s="1775" t="s">
        <v>2535</v>
      </c>
      <c r="D74" s="1775" t="s">
        <v>2536</v>
      </c>
      <c r="E74" s="1775" t="s">
        <v>2537</v>
      </c>
      <c r="F74" s="1775" t="s">
        <v>2538</v>
      </c>
      <c r="G74" s="1775" t="s">
        <v>2334</v>
      </c>
      <c r="H74" s="1775" t="s">
        <v>30</v>
      </c>
      <c r="I74" s="1775" t="s">
        <v>853</v>
      </c>
    </row>
    <row r="75" spans="1:9" ht="11.25" customHeight="1">
      <c r="A75" s="1775" t="s">
        <v>2293</v>
      </c>
      <c r="B75" s="1775" t="s">
        <v>16</v>
      </c>
      <c r="C75" s="1775" t="s">
        <v>2539</v>
      </c>
      <c r="D75" s="1775" t="s">
        <v>2540</v>
      </c>
      <c r="E75" s="1775" t="s">
        <v>2541</v>
      </c>
      <c r="F75" s="1775" t="s">
        <v>2311</v>
      </c>
      <c r="G75" s="1775" t="s">
        <v>2542</v>
      </c>
      <c r="H75" s="1775" t="s">
        <v>30</v>
      </c>
      <c r="I75" s="1775" t="s">
        <v>853</v>
      </c>
    </row>
    <row r="76" spans="1:9" ht="11.25" customHeight="1">
      <c r="A76" s="1775" t="s">
        <v>2293</v>
      </c>
      <c r="B76" s="1775" t="s">
        <v>16</v>
      </c>
      <c r="C76" s="1775" t="s">
        <v>2543</v>
      </c>
      <c r="D76" s="1775" t="s">
        <v>2544</v>
      </c>
      <c r="E76" s="1775" t="s">
        <v>2545</v>
      </c>
      <c r="F76" s="1775" t="s">
        <v>56</v>
      </c>
      <c r="G76" s="1775" t="s">
        <v>2546</v>
      </c>
      <c r="H76" s="1775" t="s">
        <v>30</v>
      </c>
      <c r="I76" s="1775" t="s">
        <v>853</v>
      </c>
    </row>
    <row r="77" spans="1:9" ht="11.25" customHeight="1">
      <c r="A77" s="1775" t="s">
        <v>2293</v>
      </c>
      <c r="B77" s="1775" t="s">
        <v>16</v>
      </c>
      <c r="C77" s="1775" t="s">
        <v>2547</v>
      </c>
      <c r="D77" s="1775" t="s">
        <v>2548</v>
      </c>
      <c r="E77" s="1775" t="s">
        <v>2549</v>
      </c>
      <c r="F77" s="1775" t="s">
        <v>56</v>
      </c>
      <c r="G77" s="1775" t="s">
        <v>30</v>
      </c>
      <c r="H77" s="1775" t="s">
        <v>30</v>
      </c>
      <c r="I77" s="1775" t="s">
        <v>853</v>
      </c>
    </row>
    <row r="78" spans="1:9" ht="11.25" customHeight="1">
      <c r="A78" s="1775" t="s">
        <v>2293</v>
      </c>
      <c r="B78" s="1775" t="s">
        <v>16</v>
      </c>
      <c r="C78" s="1775" t="s">
        <v>2550</v>
      </c>
      <c r="D78" s="1775" t="s">
        <v>2551</v>
      </c>
      <c r="E78" s="1775" t="s">
        <v>2552</v>
      </c>
      <c r="F78" s="1775" t="s">
        <v>2311</v>
      </c>
      <c r="G78" s="1775" t="s">
        <v>30</v>
      </c>
      <c r="H78" s="1775" t="s">
        <v>30</v>
      </c>
      <c r="I78" s="1775" t="s">
        <v>853</v>
      </c>
    </row>
    <row r="79" spans="1:9" ht="11.25" customHeight="1">
      <c r="A79" s="1775" t="s">
        <v>2293</v>
      </c>
      <c r="B79" s="1775" t="s">
        <v>16</v>
      </c>
      <c r="C79" s="1775" t="s">
        <v>2553</v>
      </c>
      <c r="D79" s="1775" t="s">
        <v>2554</v>
      </c>
      <c r="E79" s="1775" t="s">
        <v>2555</v>
      </c>
      <c r="F79" s="1775" t="s">
        <v>2311</v>
      </c>
      <c r="G79" s="1775" t="s">
        <v>30</v>
      </c>
      <c r="H79" s="1775" t="s">
        <v>30</v>
      </c>
      <c r="I79" s="1775" t="s">
        <v>853</v>
      </c>
    </row>
    <row r="80" spans="1:9" ht="11.25" customHeight="1">
      <c r="A80" s="1775" t="s">
        <v>2293</v>
      </c>
      <c r="B80" s="1775" t="s">
        <v>16</v>
      </c>
      <c r="C80" s="1775" t="s">
        <v>2556</v>
      </c>
      <c r="D80" s="1775" t="s">
        <v>2557</v>
      </c>
      <c r="E80" s="1775" t="s">
        <v>2558</v>
      </c>
      <c r="F80" s="1775" t="s">
        <v>2347</v>
      </c>
      <c r="G80" s="1775" t="s">
        <v>2559</v>
      </c>
      <c r="H80" s="1775" t="s">
        <v>30</v>
      </c>
      <c r="I80" s="1775" t="s">
        <v>853</v>
      </c>
    </row>
    <row r="81" spans="1:9" ht="11.25" customHeight="1">
      <c r="A81" s="1775" t="s">
        <v>2293</v>
      </c>
      <c r="B81" s="1775" t="s">
        <v>16</v>
      </c>
      <c r="C81" s="1775" t="s">
        <v>2560</v>
      </c>
      <c r="D81" s="1775" t="s">
        <v>2561</v>
      </c>
      <c r="E81" s="1775" t="s">
        <v>2562</v>
      </c>
      <c r="F81" s="1775" t="s">
        <v>56</v>
      </c>
      <c r="G81" s="1775" t="s">
        <v>2563</v>
      </c>
      <c r="H81" s="1775" t="s">
        <v>30</v>
      </c>
      <c r="I81" s="1775" t="s">
        <v>853</v>
      </c>
    </row>
    <row r="82" spans="1:9" ht="11.25" customHeight="1">
      <c r="A82" s="1775" t="s">
        <v>2293</v>
      </c>
      <c r="B82" s="1775" t="s">
        <v>16</v>
      </c>
      <c r="C82" s="1775" t="s">
        <v>2564</v>
      </c>
      <c r="D82" s="1775" t="s">
        <v>2565</v>
      </c>
      <c r="E82" s="1775" t="s">
        <v>2566</v>
      </c>
      <c r="F82" s="1775" t="s">
        <v>56</v>
      </c>
      <c r="G82" s="1775" t="s">
        <v>30</v>
      </c>
      <c r="H82" s="1775" t="s">
        <v>30</v>
      </c>
      <c r="I82" s="1775" t="s">
        <v>853</v>
      </c>
    </row>
    <row r="83" spans="1:9" ht="11.25" customHeight="1">
      <c r="A83" s="1775" t="s">
        <v>2293</v>
      </c>
      <c r="B83" s="1775" t="s">
        <v>16</v>
      </c>
      <c r="C83" s="1775" t="s">
        <v>2567</v>
      </c>
      <c r="D83" s="1775" t="s">
        <v>2568</v>
      </c>
      <c r="E83" s="1775" t="s">
        <v>2569</v>
      </c>
      <c r="F83" s="1775" t="s">
        <v>2377</v>
      </c>
      <c r="G83" s="1775" t="s">
        <v>30</v>
      </c>
      <c r="H83" s="1775" t="s">
        <v>30</v>
      </c>
      <c r="I83" s="1775" t="s">
        <v>853</v>
      </c>
    </row>
    <row r="84" spans="1:9" ht="11.25" customHeight="1">
      <c r="A84" s="1775" t="s">
        <v>2293</v>
      </c>
      <c r="B84" s="1775" t="s">
        <v>16</v>
      </c>
      <c r="C84" s="1775" t="s">
        <v>2570</v>
      </c>
      <c r="D84" s="1775" t="s">
        <v>2568</v>
      </c>
      <c r="E84" s="1775" t="s">
        <v>2571</v>
      </c>
      <c r="F84" s="1775" t="s">
        <v>56</v>
      </c>
      <c r="G84" s="1775" t="s">
        <v>30</v>
      </c>
      <c r="H84" s="1775" t="s">
        <v>30</v>
      </c>
      <c r="I84" s="1775" t="s">
        <v>853</v>
      </c>
    </row>
    <row r="85" spans="1:9" ht="11.25" customHeight="1">
      <c r="A85" s="1775" t="s">
        <v>2293</v>
      </c>
      <c r="B85" s="1775" t="s">
        <v>16</v>
      </c>
      <c r="C85" s="1775" t="s">
        <v>2572</v>
      </c>
      <c r="D85" s="1775" t="s">
        <v>2573</v>
      </c>
      <c r="E85" s="1775" t="s">
        <v>2574</v>
      </c>
      <c r="F85" s="1775" t="s">
        <v>56</v>
      </c>
      <c r="G85" s="1775" t="s">
        <v>30</v>
      </c>
      <c r="H85" s="1775" t="s">
        <v>30</v>
      </c>
      <c r="I85" s="1775" t="s">
        <v>853</v>
      </c>
    </row>
    <row r="86" spans="1:9" ht="11.25" customHeight="1">
      <c r="A86" s="1775" t="s">
        <v>2293</v>
      </c>
      <c r="B86" s="1775" t="s">
        <v>16</v>
      </c>
      <c r="C86" s="1775" t="s">
        <v>2575</v>
      </c>
      <c r="D86" s="1775" t="s">
        <v>2576</v>
      </c>
      <c r="E86" s="1775" t="s">
        <v>2577</v>
      </c>
      <c r="F86" s="1775" t="s">
        <v>2311</v>
      </c>
      <c r="G86" s="1775" t="s">
        <v>30</v>
      </c>
      <c r="H86" s="1775" t="s">
        <v>30</v>
      </c>
      <c r="I86" s="1775" t="s">
        <v>853</v>
      </c>
    </row>
    <row r="87" spans="1:9" ht="11.25" customHeight="1">
      <c r="A87" s="1775" t="s">
        <v>2293</v>
      </c>
      <c r="B87" s="1775" t="s">
        <v>16</v>
      </c>
      <c r="C87" s="1775" t="s">
        <v>2578</v>
      </c>
      <c r="D87" s="1775" t="s">
        <v>2579</v>
      </c>
      <c r="E87" s="1775" t="s">
        <v>2580</v>
      </c>
      <c r="F87" s="1775" t="s">
        <v>2377</v>
      </c>
      <c r="G87" s="1775" t="s">
        <v>30</v>
      </c>
      <c r="H87" s="1775" t="s">
        <v>30</v>
      </c>
      <c r="I87" s="1775" t="s">
        <v>853</v>
      </c>
    </row>
    <row r="88" spans="1:9" ht="11.25" customHeight="1">
      <c r="A88" s="1775" t="s">
        <v>2293</v>
      </c>
      <c r="B88" s="1775" t="s">
        <v>16</v>
      </c>
      <c r="C88" s="1775" t="s">
        <v>2581</v>
      </c>
      <c r="D88" s="1775" t="s">
        <v>2582</v>
      </c>
      <c r="E88" s="1775" t="s">
        <v>2583</v>
      </c>
      <c r="F88" s="1775" t="s">
        <v>2365</v>
      </c>
      <c r="G88" s="1775" t="s">
        <v>30</v>
      </c>
      <c r="H88" s="1775" t="s">
        <v>30</v>
      </c>
      <c r="I88" s="1775" t="s">
        <v>853</v>
      </c>
    </row>
    <row r="89" spans="1:9" ht="11.25" customHeight="1">
      <c r="A89" s="1775" t="s">
        <v>2293</v>
      </c>
      <c r="B89" s="1775" t="s">
        <v>16</v>
      </c>
      <c r="C89" s="1775" t="s">
        <v>2584</v>
      </c>
      <c r="D89" s="1775" t="s">
        <v>2585</v>
      </c>
      <c r="E89" s="1775" t="s">
        <v>2586</v>
      </c>
      <c r="F89" s="1775" t="s">
        <v>56</v>
      </c>
      <c r="G89" s="1775" t="s">
        <v>2587</v>
      </c>
      <c r="H89" s="1775" t="s">
        <v>30</v>
      </c>
      <c r="I89" s="1775" t="s">
        <v>853</v>
      </c>
    </row>
    <row r="90" spans="1:9" ht="11.25" customHeight="1">
      <c r="A90" s="1775" t="s">
        <v>2293</v>
      </c>
      <c r="B90" s="1775" t="s">
        <v>16</v>
      </c>
      <c r="C90" s="1775" t="s">
        <v>2588</v>
      </c>
      <c r="D90" s="1775" t="s">
        <v>2589</v>
      </c>
      <c r="E90" s="1775" t="s">
        <v>2590</v>
      </c>
      <c r="F90" s="1775" t="s">
        <v>56</v>
      </c>
      <c r="G90" s="1775" t="s">
        <v>30</v>
      </c>
      <c r="H90" s="1775" t="s">
        <v>30</v>
      </c>
      <c r="I90" s="1775" t="s">
        <v>853</v>
      </c>
    </row>
    <row r="91" spans="1:9" ht="11.25" customHeight="1">
      <c r="A91" s="1775" t="s">
        <v>2293</v>
      </c>
      <c r="B91" s="1775" t="s">
        <v>16</v>
      </c>
      <c r="C91" s="1775" t="s">
        <v>2591</v>
      </c>
      <c r="D91" s="1775" t="s">
        <v>2592</v>
      </c>
      <c r="E91" s="1775" t="s">
        <v>2593</v>
      </c>
      <c r="F91" s="1775" t="s">
        <v>56</v>
      </c>
      <c r="G91" s="1775" t="s">
        <v>30</v>
      </c>
      <c r="H91" s="1775" t="s">
        <v>30</v>
      </c>
      <c r="I91" s="1775" t="s">
        <v>853</v>
      </c>
    </row>
    <row r="92" spans="1:9" ht="11.25" customHeight="1">
      <c r="A92" s="1775" t="s">
        <v>2293</v>
      </c>
      <c r="B92" s="1775" t="s">
        <v>16</v>
      </c>
      <c r="C92" s="1775" t="s">
        <v>2594</v>
      </c>
      <c r="D92" s="1775" t="s">
        <v>2595</v>
      </c>
      <c r="E92" s="1775" t="s">
        <v>2596</v>
      </c>
      <c r="F92" s="1775" t="s">
        <v>56</v>
      </c>
      <c r="G92" s="1775" t="s">
        <v>30</v>
      </c>
      <c r="H92" s="1775" t="s">
        <v>30</v>
      </c>
      <c r="I92" s="1775" t="s">
        <v>853</v>
      </c>
    </row>
    <row r="93" spans="1:9" ht="11.25" customHeight="1">
      <c r="A93" s="1775" t="s">
        <v>2293</v>
      </c>
      <c r="B93" s="1775" t="s">
        <v>16</v>
      </c>
      <c r="C93" s="1775" t="s">
        <v>2597</v>
      </c>
      <c r="D93" s="1775" t="s">
        <v>2598</v>
      </c>
      <c r="E93" s="1775" t="s">
        <v>2599</v>
      </c>
      <c r="F93" s="1775" t="s">
        <v>56</v>
      </c>
      <c r="G93" s="1775" t="s">
        <v>30</v>
      </c>
      <c r="H93" s="1775" t="s">
        <v>30</v>
      </c>
      <c r="I93" s="1775" t="s">
        <v>853</v>
      </c>
    </row>
    <row r="94" spans="1:9" ht="11.25" customHeight="1">
      <c r="A94" s="1775" t="s">
        <v>2293</v>
      </c>
      <c r="B94" s="1775" t="s">
        <v>16</v>
      </c>
      <c r="C94" s="1775" t="s">
        <v>2600</v>
      </c>
      <c r="D94" s="1775" t="s">
        <v>2601</v>
      </c>
      <c r="E94" s="1775" t="s">
        <v>2602</v>
      </c>
      <c r="F94" s="1775" t="s">
        <v>56</v>
      </c>
      <c r="G94" s="1775" t="s">
        <v>2603</v>
      </c>
      <c r="H94" s="1775" t="s">
        <v>30</v>
      </c>
      <c r="I94" s="1775" t="s">
        <v>853</v>
      </c>
    </row>
    <row r="95" spans="1:9" ht="11.25" customHeight="1">
      <c r="A95" s="1775" t="s">
        <v>2293</v>
      </c>
      <c r="B95" s="1775" t="s">
        <v>16</v>
      </c>
      <c r="C95" s="1775" t="s">
        <v>2604</v>
      </c>
      <c r="D95" s="1775" t="s">
        <v>2605</v>
      </c>
      <c r="E95" s="1775" t="s">
        <v>2606</v>
      </c>
      <c r="F95" s="1775" t="s">
        <v>56</v>
      </c>
      <c r="G95" s="1775" t="s">
        <v>2607</v>
      </c>
      <c r="H95" s="1775" t="s">
        <v>30</v>
      </c>
      <c r="I95" s="1775" t="s">
        <v>853</v>
      </c>
    </row>
    <row r="96" spans="1:9" ht="11.25" customHeight="1">
      <c r="A96" s="1775" t="s">
        <v>2293</v>
      </c>
      <c r="B96" s="1775" t="s">
        <v>16</v>
      </c>
      <c r="C96" s="1775" t="s">
        <v>2608</v>
      </c>
      <c r="D96" s="1775" t="s">
        <v>2609</v>
      </c>
      <c r="E96" s="1775" t="s">
        <v>2610</v>
      </c>
      <c r="F96" s="1775" t="s">
        <v>56</v>
      </c>
      <c r="G96" s="1775" t="s">
        <v>30</v>
      </c>
      <c r="H96" s="1775" t="s">
        <v>30</v>
      </c>
      <c r="I96" s="1775" t="s">
        <v>853</v>
      </c>
    </row>
    <row r="97" spans="1:9" ht="11.25" customHeight="1">
      <c r="A97" s="1775" t="s">
        <v>2293</v>
      </c>
      <c r="B97" s="1775" t="s">
        <v>16</v>
      </c>
      <c r="C97" s="1775" t="s">
        <v>2611</v>
      </c>
      <c r="D97" s="1775" t="s">
        <v>2612</v>
      </c>
      <c r="E97" s="1775" t="s">
        <v>2613</v>
      </c>
      <c r="F97" s="1775" t="s">
        <v>2311</v>
      </c>
      <c r="G97" s="1775" t="s">
        <v>2614</v>
      </c>
      <c r="H97" s="1775" t="s">
        <v>30</v>
      </c>
      <c r="I97" s="1775" t="s">
        <v>853</v>
      </c>
    </row>
    <row r="98" spans="1:9" ht="11.25" customHeight="1">
      <c r="A98" s="1775" t="s">
        <v>2293</v>
      </c>
      <c r="B98" s="1775" t="s">
        <v>16</v>
      </c>
      <c r="C98" s="1775" t="s">
        <v>2615</v>
      </c>
      <c r="D98" s="1775" t="s">
        <v>2616</v>
      </c>
      <c r="E98" s="1775" t="s">
        <v>2617</v>
      </c>
      <c r="F98" s="1775" t="s">
        <v>2369</v>
      </c>
      <c r="G98" s="1775" t="s">
        <v>30</v>
      </c>
      <c r="H98" s="1775" t="s">
        <v>30</v>
      </c>
      <c r="I98" s="1775" t="s">
        <v>853</v>
      </c>
    </row>
    <row r="99" spans="1:9" ht="11.25" customHeight="1">
      <c r="A99" s="1775" t="s">
        <v>2293</v>
      </c>
      <c r="B99" s="1775" t="s">
        <v>16</v>
      </c>
      <c r="C99" s="1775" t="s">
        <v>2618</v>
      </c>
      <c r="D99" s="1775" t="s">
        <v>2619</v>
      </c>
      <c r="E99" s="1775" t="s">
        <v>2620</v>
      </c>
      <c r="F99" s="1775" t="s">
        <v>56</v>
      </c>
      <c r="G99" s="1775" t="s">
        <v>2621</v>
      </c>
      <c r="H99" s="1775" t="s">
        <v>30</v>
      </c>
      <c r="I99" s="1775" t="s">
        <v>853</v>
      </c>
    </row>
    <row r="100" spans="1:9" ht="11.25" customHeight="1">
      <c r="A100" s="1775" t="s">
        <v>2293</v>
      </c>
      <c r="B100" s="1775" t="s">
        <v>16</v>
      </c>
      <c r="C100" s="1775" t="s">
        <v>2622</v>
      </c>
      <c r="D100" s="1775" t="s">
        <v>2623</v>
      </c>
      <c r="E100" s="1775" t="s">
        <v>2624</v>
      </c>
      <c r="F100" s="1775" t="s">
        <v>2405</v>
      </c>
      <c r="G100" s="1775" t="s">
        <v>30</v>
      </c>
      <c r="H100" s="1775" t="s">
        <v>30</v>
      </c>
      <c r="I100" s="1775" t="s">
        <v>853</v>
      </c>
    </row>
    <row r="101" spans="1:9" ht="11.25" customHeight="1">
      <c r="A101" s="1775" t="s">
        <v>2293</v>
      </c>
      <c r="B101" s="1775" t="s">
        <v>16</v>
      </c>
      <c r="C101" s="1775" t="s">
        <v>2625</v>
      </c>
      <c r="D101" s="1775" t="s">
        <v>2626</v>
      </c>
      <c r="E101" s="1775" t="s">
        <v>2627</v>
      </c>
      <c r="F101" s="1775" t="s">
        <v>2365</v>
      </c>
      <c r="G101" s="1775" t="s">
        <v>30</v>
      </c>
      <c r="H101" s="1775" t="s">
        <v>30</v>
      </c>
      <c r="I101" s="1775" t="s">
        <v>853</v>
      </c>
    </row>
    <row r="102" spans="1:9" ht="11.25" customHeight="1">
      <c r="A102" s="1775" t="s">
        <v>2293</v>
      </c>
      <c r="B102" s="1775" t="s">
        <v>16</v>
      </c>
      <c r="C102" s="1775" t="s">
        <v>2628</v>
      </c>
      <c r="D102" s="1775" t="s">
        <v>2629</v>
      </c>
      <c r="E102" s="1775" t="s">
        <v>2630</v>
      </c>
      <c r="F102" s="1775" t="s">
        <v>56</v>
      </c>
      <c r="G102" s="1775" t="s">
        <v>30</v>
      </c>
      <c r="H102" s="1775" t="s">
        <v>30</v>
      </c>
      <c r="I102" s="1775" t="s">
        <v>853</v>
      </c>
    </row>
    <row r="103" spans="1:9" ht="11.25" customHeight="1">
      <c r="A103" s="1775" t="s">
        <v>2293</v>
      </c>
      <c r="B103" s="1775" t="s">
        <v>16</v>
      </c>
      <c r="C103" s="1775" t="s">
        <v>2631</v>
      </c>
      <c r="D103" s="1775" t="s">
        <v>2632</v>
      </c>
      <c r="E103" s="1775" t="s">
        <v>2633</v>
      </c>
      <c r="F103" s="1775" t="s">
        <v>56</v>
      </c>
      <c r="G103" s="1775" t="s">
        <v>30</v>
      </c>
      <c r="H103" s="1775" t="s">
        <v>30</v>
      </c>
      <c r="I103" s="1775" t="s">
        <v>853</v>
      </c>
    </row>
    <row r="104" spans="1:9" ht="11.25" customHeight="1">
      <c r="A104" s="1775" t="s">
        <v>2293</v>
      </c>
      <c r="B104" s="1775" t="s">
        <v>16</v>
      </c>
      <c r="C104" s="1775" t="s">
        <v>2634</v>
      </c>
      <c r="D104" s="1775" t="s">
        <v>2635</v>
      </c>
      <c r="E104" s="1775" t="s">
        <v>2636</v>
      </c>
      <c r="F104" s="1775" t="s">
        <v>56</v>
      </c>
      <c r="G104" s="1775" t="s">
        <v>30</v>
      </c>
      <c r="H104" s="1775" t="s">
        <v>30</v>
      </c>
      <c r="I104" s="1775" t="s">
        <v>853</v>
      </c>
    </row>
    <row r="105" spans="1:9" ht="11.25" customHeight="1">
      <c r="A105" s="1775" t="s">
        <v>2293</v>
      </c>
      <c r="B105" s="1775" t="s">
        <v>16</v>
      </c>
      <c r="C105" s="1775" t="s">
        <v>2637</v>
      </c>
      <c r="D105" s="1775" t="s">
        <v>2638</v>
      </c>
      <c r="E105" s="1775" t="s">
        <v>2639</v>
      </c>
      <c r="F105" s="1775" t="s">
        <v>56</v>
      </c>
      <c r="G105" s="1775" t="s">
        <v>30</v>
      </c>
      <c r="H105" s="1775" t="s">
        <v>30</v>
      </c>
      <c r="I105" s="1775" t="s">
        <v>853</v>
      </c>
    </row>
    <row r="106" spans="1:9" ht="11.25" customHeight="1">
      <c r="A106" s="1775" t="s">
        <v>2293</v>
      </c>
      <c r="B106" s="1775" t="s">
        <v>16</v>
      </c>
      <c r="C106" s="1775" t="s">
        <v>2640</v>
      </c>
      <c r="D106" s="1775" t="s">
        <v>2641</v>
      </c>
      <c r="E106" s="1775" t="s">
        <v>2642</v>
      </c>
      <c r="F106" s="1775" t="s">
        <v>56</v>
      </c>
      <c r="G106" s="1775" t="s">
        <v>30</v>
      </c>
      <c r="H106" s="1775" t="s">
        <v>30</v>
      </c>
      <c r="I106" s="1775" t="s">
        <v>853</v>
      </c>
    </row>
    <row r="107" spans="1:9" ht="11.25" customHeight="1">
      <c r="A107" s="1775" t="s">
        <v>2293</v>
      </c>
      <c r="B107" s="1775" t="s">
        <v>16</v>
      </c>
      <c r="C107" s="1775" t="s">
        <v>2643</v>
      </c>
      <c r="D107" s="1775" t="s">
        <v>2644</v>
      </c>
      <c r="E107" s="1775" t="s">
        <v>2645</v>
      </c>
      <c r="F107" s="1775" t="s">
        <v>56</v>
      </c>
      <c r="G107" s="1775" t="s">
        <v>30</v>
      </c>
      <c r="H107" s="1775" t="s">
        <v>30</v>
      </c>
      <c r="I107" s="1775" t="s">
        <v>853</v>
      </c>
    </row>
    <row r="108" spans="1:9" ht="11.25" customHeight="1">
      <c r="A108" s="1775" t="s">
        <v>2293</v>
      </c>
      <c r="B108" s="1775" t="s">
        <v>16</v>
      </c>
      <c r="C108" s="1775" t="s">
        <v>2646</v>
      </c>
      <c r="D108" s="1775" t="s">
        <v>2647</v>
      </c>
      <c r="E108" s="1775" t="s">
        <v>2648</v>
      </c>
      <c r="F108" s="1775" t="s">
        <v>56</v>
      </c>
      <c r="G108" s="1775" t="s">
        <v>30</v>
      </c>
      <c r="H108" s="1775" t="s">
        <v>30</v>
      </c>
      <c r="I108" s="1775" t="s">
        <v>853</v>
      </c>
    </row>
    <row r="109" spans="1:9" ht="11.25" customHeight="1">
      <c r="A109" s="1775" t="s">
        <v>2293</v>
      </c>
      <c r="B109" s="1775" t="s">
        <v>16</v>
      </c>
      <c r="C109" s="1775" t="s">
        <v>2649</v>
      </c>
      <c r="D109" s="1775" t="s">
        <v>2650</v>
      </c>
      <c r="E109" s="1775" t="s">
        <v>2651</v>
      </c>
      <c r="F109" s="1775" t="s">
        <v>56</v>
      </c>
      <c r="G109" s="1775" t="s">
        <v>2652</v>
      </c>
      <c r="H109" s="1775" t="s">
        <v>30</v>
      </c>
      <c r="I109" s="1775" t="s">
        <v>853</v>
      </c>
    </row>
    <row r="110" spans="1:9" ht="11.25" customHeight="1">
      <c r="A110" s="1775" t="s">
        <v>2293</v>
      </c>
      <c r="B110" s="1775" t="s">
        <v>16</v>
      </c>
      <c r="C110" s="1775" t="s">
        <v>2653</v>
      </c>
      <c r="D110" s="1775" t="s">
        <v>2654</v>
      </c>
      <c r="E110" s="1775" t="s">
        <v>2655</v>
      </c>
      <c r="F110" s="1775" t="s">
        <v>2311</v>
      </c>
      <c r="G110" s="1775" t="s">
        <v>30</v>
      </c>
      <c r="H110" s="1775" t="s">
        <v>30</v>
      </c>
      <c r="I110" s="1775" t="s">
        <v>853</v>
      </c>
    </row>
    <row r="111" spans="1:9" ht="11.25" customHeight="1">
      <c r="A111" s="1775" t="s">
        <v>2293</v>
      </c>
      <c r="B111" s="1775" t="s">
        <v>16</v>
      </c>
      <c r="C111" s="1775" t="s">
        <v>2656</v>
      </c>
      <c r="D111" s="1775" t="s">
        <v>2657</v>
      </c>
      <c r="E111" s="1775" t="s">
        <v>2658</v>
      </c>
      <c r="F111" s="1775" t="s">
        <v>2659</v>
      </c>
      <c r="G111" s="1775" t="s">
        <v>2660</v>
      </c>
      <c r="H111" s="1775" t="s">
        <v>30</v>
      </c>
      <c r="I111" s="1775" t="s">
        <v>853</v>
      </c>
    </row>
    <row r="112" spans="1:9" ht="11.25" customHeight="1">
      <c r="A112" s="1775" t="s">
        <v>2293</v>
      </c>
      <c r="B112" s="1775" t="s">
        <v>16</v>
      </c>
      <c r="C112" s="1775" t="s">
        <v>2661</v>
      </c>
      <c r="D112" s="1775" t="s">
        <v>2662</v>
      </c>
      <c r="E112" s="1775" t="s">
        <v>2663</v>
      </c>
      <c r="F112" s="1775" t="s">
        <v>2365</v>
      </c>
      <c r="G112" s="1775" t="s">
        <v>30</v>
      </c>
      <c r="H112" s="1775" t="s">
        <v>30</v>
      </c>
      <c r="I112" s="1775" t="s">
        <v>853</v>
      </c>
    </row>
    <row r="113" spans="1:9" ht="11.25" customHeight="1">
      <c r="A113" s="1775" t="s">
        <v>2293</v>
      </c>
      <c r="B113" s="1775" t="s">
        <v>16</v>
      </c>
      <c r="C113" s="1775" t="s">
        <v>2664</v>
      </c>
      <c r="D113" s="1775" t="s">
        <v>2665</v>
      </c>
      <c r="E113" s="1775" t="s">
        <v>2666</v>
      </c>
      <c r="F113" s="1775" t="s">
        <v>56</v>
      </c>
      <c r="G113" s="1775" t="s">
        <v>30</v>
      </c>
      <c r="H113" s="1775" t="s">
        <v>30</v>
      </c>
      <c r="I113" s="1775" t="s">
        <v>853</v>
      </c>
    </row>
    <row r="114" spans="1:9" ht="11.25" customHeight="1">
      <c r="A114" s="1775" t="s">
        <v>2293</v>
      </c>
      <c r="B114" s="1775" t="s">
        <v>16</v>
      </c>
      <c r="C114" s="1775" t="s">
        <v>2667</v>
      </c>
      <c r="D114" s="1775" t="s">
        <v>2668</v>
      </c>
      <c r="E114" s="1775" t="s">
        <v>2669</v>
      </c>
      <c r="F114" s="1775" t="s">
        <v>2365</v>
      </c>
      <c r="G114" s="1775" t="s">
        <v>30</v>
      </c>
      <c r="H114" s="1775" t="s">
        <v>30</v>
      </c>
      <c r="I114" s="1775" t="s">
        <v>853</v>
      </c>
    </row>
    <row r="115" spans="1:9" ht="11.25" customHeight="1">
      <c r="A115" s="1775" t="s">
        <v>2293</v>
      </c>
      <c r="B115" s="1775" t="s">
        <v>16</v>
      </c>
      <c r="C115" s="1775" t="s">
        <v>2670</v>
      </c>
      <c r="D115" s="1775" t="s">
        <v>2671</v>
      </c>
      <c r="E115" s="1775" t="s">
        <v>2672</v>
      </c>
      <c r="F115" s="1775" t="s">
        <v>2369</v>
      </c>
      <c r="G115" s="1775" t="s">
        <v>30</v>
      </c>
      <c r="H115" s="1775" t="s">
        <v>30</v>
      </c>
      <c r="I115" s="1775" t="s">
        <v>853</v>
      </c>
    </row>
    <row r="116" spans="1:9" ht="11.25" customHeight="1">
      <c r="A116" s="1775" t="s">
        <v>2293</v>
      </c>
      <c r="B116" s="1775" t="s">
        <v>16</v>
      </c>
      <c r="C116" s="1775" t="s">
        <v>2673</v>
      </c>
      <c r="D116" s="1775" t="s">
        <v>2674</v>
      </c>
      <c r="E116" s="1775" t="s">
        <v>2675</v>
      </c>
      <c r="F116" s="1775" t="s">
        <v>2306</v>
      </c>
      <c r="G116" s="1775" t="s">
        <v>2676</v>
      </c>
      <c r="H116" s="1775" t="s">
        <v>30</v>
      </c>
      <c r="I116" s="1775" t="s">
        <v>853</v>
      </c>
    </row>
    <row r="117" spans="1:9" ht="11.25" customHeight="1">
      <c r="A117" s="1775" t="s">
        <v>2293</v>
      </c>
      <c r="B117" s="1775" t="s">
        <v>16</v>
      </c>
      <c r="C117" s="1775" t="s">
        <v>2677</v>
      </c>
      <c r="D117" s="1775" t="s">
        <v>2678</v>
      </c>
      <c r="E117" s="1775" t="s">
        <v>2679</v>
      </c>
      <c r="F117" s="1775" t="s">
        <v>2680</v>
      </c>
      <c r="G117" s="1775" t="s">
        <v>2681</v>
      </c>
      <c r="H117" s="1775" t="s">
        <v>30</v>
      </c>
      <c r="I117" s="1775" t="s">
        <v>853</v>
      </c>
    </row>
    <row r="118" spans="1:9" ht="11.25" customHeight="1">
      <c r="A118" s="1775" t="s">
        <v>2293</v>
      </c>
      <c r="B118" s="1775" t="s">
        <v>16</v>
      </c>
      <c r="C118" s="1775" t="s">
        <v>2682</v>
      </c>
      <c r="D118" s="1775" t="s">
        <v>2683</v>
      </c>
      <c r="E118" s="1775" t="s">
        <v>2684</v>
      </c>
      <c r="F118" s="1775" t="s">
        <v>56</v>
      </c>
      <c r="G118" s="1775" t="s">
        <v>30</v>
      </c>
      <c r="H118" s="1775" t="s">
        <v>2685</v>
      </c>
      <c r="I118" s="1775" t="s">
        <v>853</v>
      </c>
    </row>
    <row r="119" spans="1:9" ht="11.25" customHeight="1">
      <c r="A119" s="1775" t="s">
        <v>2293</v>
      </c>
      <c r="B119" s="1775" t="s">
        <v>16</v>
      </c>
      <c r="C119" s="1775" t="s">
        <v>2686</v>
      </c>
      <c r="D119" s="1775" t="s">
        <v>2687</v>
      </c>
      <c r="E119" s="1775" t="s">
        <v>2688</v>
      </c>
      <c r="F119" s="1775" t="s">
        <v>56</v>
      </c>
      <c r="G119" s="1775" t="s">
        <v>30</v>
      </c>
      <c r="H119" s="1775" t="s">
        <v>2689</v>
      </c>
      <c r="I119" s="1775" t="s">
        <v>853</v>
      </c>
    </row>
    <row r="120" spans="1:9" ht="11.25" customHeight="1">
      <c r="A120" s="1775" t="s">
        <v>2293</v>
      </c>
      <c r="B120" s="1775" t="s">
        <v>16</v>
      </c>
      <c r="C120" s="1775" t="s">
        <v>2690</v>
      </c>
      <c r="D120" s="1775" t="s">
        <v>2691</v>
      </c>
      <c r="E120" s="1775" t="s">
        <v>2692</v>
      </c>
      <c r="F120" s="1775" t="s">
        <v>56</v>
      </c>
      <c r="G120" s="1775" t="s">
        <v>30</v>
      </c>
      <c r="H120" s="1775" t="s">
        <v>30</v>
      </c>
      <c r="I120" s="1775" t="s">
        <v>853</v>
      </c>
    </row>
    <row r="121" spans="1:9" ht="11.25" customHeight="1">
      <c r="A121" s="1775" t="s">
        <v>2293</v>
      </c>
      <c r="B121" s="1775" t="s">
        <v>16</v>
      </c>
      <c r="C121" s="1775" t="s">
        <v>2693</v>
      </c>
      <c r="D121" s="1775" t="s">
        <v>2694</v>
      </c>
      <c r="E121" s="1775" t="s">
        <v>2695</v>
      </c>
      <c r="F121" s="1775" t="s">
        <v>2696</v>
      </c>
      <c r="G121" s="1775" t="s">
        <v>30</v>
      </c>
      <c r="H121" s="1775" t="s">
        <v>30</v>
      </c>
      <c r="I121" s="1775" t="s">
        <v>853</v>
      </c>
    </row>
    <row r="122" spans="1:9" ht="11.25" customHeight="1">
      <c r="A122" s="1775" t="s">
        <v>2293</v>
      </c>
      <c r="B122" s="1775" t="s">
        <v>16</v>
      </c>
      <c r="C122" s="1775" t="s">
        <v>2697</v>
      </c>
      <c r="D122" s="1775" t="s">
        <v>2698</v>
      </c>
      <c r="E122" s="1775" t="s">
        <v>2699</v>
      </c>
      <c r="F122" s="1775" t="s">
        <v>2365</v>
      </c>
      <c r="G122" s="1775" t="s">
        <v>30</v>
      </c>
      <c r="H122" s="1775" t="s">
        <v>30</v>
      </c>
      <c r="I122" s="1775" t="s">
        <v>853</v>
      </c>
    </row>
    <row r="123" spans="1:9" ht="11.25" customHeight="1">
      <c r="A123" s="1775" t="s">
        <v>2293</v>
      </c>
      <c r="B123" s="1775" t="s">
        <v>16</v>
      </c>
      <c r="C123" s="1775" t="s">
        <v>13</v>
      </c>
      <c r="D123" s="1775" t="s">
        <v>51</v>
      </c>
      <c r="E123" s="1775" t="s">
        <v>54</v>
      </c>
      <c r="F123" s="1775" t="s">
        <v>56</v>
      </c>
      <c r="G123" s="1775" t="s">
        <v>2700</v>
      </c>
      <c r="H123" s="1775" t="s">
        <v>30</v>
      </c>
      <c r="I123" s="1775" t="s">
        <v>853</v>
      </c>
    </row>
    <row r="124" spans="1:9" ht="11.25" customHeight="1">
      <c r="A124" s="1775" t="s">
        <v>2293</v>
      </c>
      <c r="B124" s="1775" t="s">
        <v>16</v>
      </c>
      <c r="C124" s="1775" t="s">
        <v>2701</v>
      </c>
      <c r="D124" s="1775" t="s">
        <v>2702</v>
      </c>
      <c r="E124" s="1775" t="s">
        <v>2703</v>
      </c>
      <c r="F124" s="1775" t="s">
        <v>2704</v>
      </c>
      <c r="G124" s="1775" t="s">
        <v>30</v>
      </c>
      <c r="H124" s="1775" t="s">
        <v>30</v>
      </c>
      <c r="I124" s="1775" t="s">
        <v>853</v>
      </c>
    </row>
    <row r="125" spans="1:9" ht="11.25" customHeight="1">
      <c r="A125" s="1775" t="s">
        <v>2293</v>
      </c>
      <c r="B125" s="1775" t="s">
        <v>16</v>
      </c>
      <c r="C125" s="1775" t="s">
        <v>2705</v>
      </c>
      <c r="D125" s="1775" t="s">
        <v>2706</v>
      </c>
      <c r="E125" s="1775" t="s">
        <v>2707</v>
      </c>
      <c r="F125" s="1775" t="s">
        <v>2708</v>
      </c>
      <c r="G125" s="1775" t="s">
        <v>30</v>
      </c>
      <c r="H125" s="1775" t="s">
        <v>30</v>
      </c>
      <c r="I125" s="1775" t="s">
        <v>853</v>
      </c>
    </row>
    <row r="126" spans="1:9" ht="11.25" customHeight="1">
      <c r="A126" s="1775" t="s">
        <v>2293</v>
      </c>
      <c r="B126" s="1775" t="s">
        <v>16</v>
      </c>
      <c r="C126" s="1775" t="s">
        <v>2709</v>
      </c>
      <c r="D126" s="1775" t="s">
        <v>2710</v>
      </c>
      <c r="E126" s="1775" t="s">
        <v>2703</v>
      </c>
      <c r="F126" s="1775" t="s">
        <v>2708</v>
      </c>
      <c r="G126" s="1775" t="s">
        <v>30</v>
      </c>
      <c r="H126" s="1775" t="s">
        <v>30</v>
      </c>
      <c r="I126" s="1775" t="s">
        <v>853</v>
      </c>
    </row>
    <row r="127" spans="1:9" ht="11.25" customHeight="1">
      <c r="A127" s="1775" t="s">
        <v>2293</v>
      </c>
      <c r="B127" s="1775" t="s">
        <v>16</v>
      </c>
      <c r="C127" s="1775" t="s">
        <v>2711</v>
      </c>
      <c r="D127" s="1775" t="s">
        <v>2712</v>
      </c>
      <c r="E127" s="1775" t="s">
        <v>2713</v>
      </c>
      <c r="F127" s="1775" t="s">
        <v>56</v>
      </c>
      <c r="G127" s="1775" t="s">
        <v>30</v>
      </c>
      <c r="H127" s="1775" t="s">
        <v>30</v>
      </c>
      <c r="I127" s="1775" t="s">
        <v>853</v>
      </c>
    </row>
    <row r="128" spans="1:9" ht="11.25" customHeight="1">
      <c r="A128" s="1775" t="s">
        <v>2293</v>
      </c>
      <c r="B128" s="1775" t="s">
        <v>16</v>
      </c>
      <c r="C128" s="1775" t="s">
        <v>2714</v>
      </c>
      <c r="D128" s="1775" t="s">
        <v>2715</v>
      </c>
      <c r="E128" s="1775" t="s">
        <v>2716</v>
      </c>
      <c r="F128" s="1775" t="s">
        <v>2717</v>
      </c>
      <c r="G128" s="1775" t="s">
        <v>30</v>
      </c>
      <c r="H128" s="1775" t="s">
        <v>30</v>
      </c>
      <c r="I128" s="1775" t="s">
        <v>853</v>
      </c>
    </row>
    <row r="129" spans="1:9" ht="11.25" customHeight="1">
      <c r="A129" s="1775" t="s">
        <v>2293</v>
      </c>
      <c r="B129" s="1775" t="s">
        <v>16</v>
      </c>
      <c r="C129" s="1775" t="s">
        <v>2718</v>
      </c>
      <c r="D129" s="1775" t="s">
        <v>2719</v>
      </c>
      <c r="E129" s="1775" t="s">
        <v>2720</v>
      </c>
      <c r="F129" s="1775" t="s">
        <v>2369</v>
      </c>
      <c r="G129" s="1775" t="s">
        <v>30</v>
      </c>
      <c r="H129" s="1775" t="s">
        <v>30</v>
      </c>
      <c r="I129" s="1775" t="s">
        <v>853</v>
      </c>
    </row>
    <row r="130" spans="1:9" ht="11.25" customHeight="1">
      <c r="A130" s="1775" t="s">
        <v>2293</v>
      </c>
      <c r="B130" s="1775" t="s">
        <v>16</v>
      </c>
      <c r="C130" s="1775" t="s">
        <v>2721</v>
      </c>
      <c r="D130" s="1775" t="s">
        <v>2722</v>
      </c>
      <c r="E130" s="1775" t="s">
        <v>2716</v>
      </c>
      <c r="F130" s="1775" t="s">
        <v>2723</v>
      </c>
      <c r="G130" s="1775" t="s">
        <v>30</v>
      </c>
      <c r="H130" s="1775" t="s">
        <v>30</v>
      </c>
      <c r="I130" s="1775" t="s">
        <v>853</v>
      </c>
    </row>
    <row r="131" spans="1:9" ht="11.25" customHeight="1">
      <c r="A131" s="1775" t="s">
        <v>2293</v>
      </c>
      <c r="B131" s="1775" t="s">
        <v>16</v>
      </c>
      <c r="C131" s="1775" t="s">
        <v>2724</v>
      </c>
      <c r="D131" s="1775" t="s">
        <v>2725</v>
      </c>
      <c r="E131" s="1775" t="s">
        <v>2726</v>
      </c>
      <c r="F131" s="1775" t="s">
        <v>2377</v>
      </c>
      <c r="G131" s="1775" t="s">
        <v>30</v>
      </c>
      <c r="H131" s="1775" t="s">
        <v>30</v>
      </c>
      <c r="I131" s="1775" t="s">
        <v>853</v>
      </c>
    </row>
    <row r="132" spans="1:9" ht="11.25" customHeight="1">
      <c r="A132" s="1775" t="s">
        <v>2293</v>
      </c>
      <c r="B132" s="1775" t="s">
        <v>16</v>
      </c>
      <c r="C132" s="1775" t="s">
        <v>2727</v>
      </c>
      <c r="D132" s="1775" t="s">
        <v>2728</v>
      </c>
      <c r="E132" s="1775" t="s">
        <v>2729</v>
      </c>
      <c r="F132" s="1775" t="s">
        <v>2659</v>
      </c>
      <c r="G132" s="1775" t="s">
        <v>2730</v>
      </c>
      <c r="H132" s="1775" t="s">
        <v>30</v>
      </c>
      <c r="I132" s="1775" t="s">
        <v>853</v>
      </c>
    </row>
    <row r="133" spans="1:9" ht="11.25" customHeight="1">
      <c r="A133" s="1775" t="s">
        <v>2293</v>
      </c>
      <c r="B133" s="1775" t="s">
        <v>16</v>
      </c>
      <c r="C133" s="1775" t="s">
        <v>2319</v>
      </c>
      <c r="D133" s="1775" t="s">
        <v>2320</v>
      </c>
      <c r="E133" s="1775" t="s">
        <v>2321</v>
      </c>
      <c r="F133" s="1775" t="s">
        <v>56</v>
      </c>
      <c r="G133" s="1775" t="s">
        <v>30</v>
      </c>
      <c r="H133" s="1775" t="s">
        <v>30</v>
      </c>
      <c r="I133" s="1775" t="s">
        <v>939</v>
      </c>
    </row>
    <row r="134" spans="1:9" ht="11.25" customHeight="1">
      <c r="A134" s="1775" t="s">
        <v>2293</v>
      </c>
      <c r="B134" s="1775" t="s">
        <v>16</v>
      </c>
      <c r="C134" s="1775" t="s">
        <v>2331</v>
      </c>
      <c r="D134" s="1775" t="s">
        <v>2332</v>
      </c>
      <c r="E134" s="1775" t="s">
        <v>2333</v>
      </c>
      <c r="F134" s="1775" t="s">
        <v>56</v>
      </c>
      <c r="G134" s="1775" t="s">
        <v>2334</v>
      </c>
      <c r="H134" s="1775" t="s">
        <v>30</v>
      </c>
      <c r="I134" s="1775" t="s">
        <v>939</v>
      </c>
    </row>
    <row r="135" spans="1:9" ht="11.25" customHeight="1">
      <c r="A135" s="1775" t="s">
        <v>2293</v>
      </c>
      <c r="B135" s="1775" t="s">
        <v>16</v>
      </c>
      <c r="C135" s="1775" t="s">
        <v>2335</v>
      </c>
      <c r="D135" s="1775" t="s">
        <v>2336</v>
      </c>
      <c r="E135" s="1775" t="s">
        <v>2337</v>
      </c>
      <c r="F135" s="1775" t="s">
        <v>56</v>
      </c>
      <c r="G135" s="1775" t="s">
        <v>30</v>
      </c>
      <c r="H135" s="1775" t="s">
        <v>30</v>
      </c>
      <c r="I135" s="1775" t="s">
        <v>939</v>
      </c>
    </row>
    <row r="136" spans="1:9" ht="11.25" customHeight="1">
      <c r="A136" s="1775" t="s">
        <v>2293</v>
      </c>
      <c r="B136" s="1775" t="s">
        <v>16</v>
      </c>
      <c r="C136" s="1775" t="s">
        <v>2354</v>
      </c>
      <c r="D136" s="1775" t="s">
        <v>2355</v>
      </c>
      <c r="E136" s="1775" t="s">
        <v>2356</v>
      </c>
      <c r="F136" s="1775" t="s">
        <v>2311</v>
      </c>
      <c r="G136" s="1775" t="s">
        <v>2357</v>
      </c>
      <c r="H136" s="1775" t="s">
        <v>30</v>
      </c>
      <c r="I136" s="1775" t="s">
        <v>939</v>
      </c>
    </row>
    <row r="137" spans="1:9" ht="11.25" customHeight="1">
      <c r="A137" s="1775" t="s">
        <v>2293</v>
      </c>
      <c r="B137" s="1775" t="s">
        <v>16</v>
      </c>
      <c r="C137" s="1775" t="s">
        <v>2366</v>
      </c>
      <c r="D137" s="1775" t="s">
        <v>2367</v>
      </c>
      <c r="E137" s="1775" t="s">
        <v>2368</v>
      </c>
      <c r="F137" s="1775" t="s">
        <v>2369</v>
      </c>
      <c r="G137" s="1775" t="s">
        <v>30</v>
      </c>
      <c r="H137" s="1775" t="s">
        <v>30</v>
      </c>
      <c r="I137" s="1775" t="s">
        <v>939</v>
      </c>
    </row>
    <row r="138" spans="1:9" ht="11.25" customHeight="1">
      <c r="A138" s="1775" t="s">
        <v>2293</v>
      </c>
      <c r="B138" s="1775" t="s">
        <v>16</v>
      </c>
      <c r="C138" s="1775" t="s">
        <v>2370</v>
      </c>
      <c r="D138" s="1775" t="s">
        <v>2371</v>
      </c>
      <c r="E138" s="1775" t="s">
        <v>2372</v>
      </c>
      <c r="F138" s="1775" t="s">
        <v>56</v>
      </c>
      <c r="G138" s="1775" t="s">
        <v>2373</v>
      </c>
      <c r="H138" s="1775" t="s">
        <v>30</v>
      </c>
      <c r="I138" s="1775" t="s">
        <v>939</v>
      </c>
    </row>
    <row r="139" spans="1:9" ht="11.25" customHeight="1">
      <c r="A139" s="1775" t="s">
        <v>2293</v>
      </c>
      <c r="B139" s="1775" t="s">
        <v>16</v>
      </c>
      <c r="C139" s="1775" t="s">
        <v>2374</v>
      </c>
      <c r="D139" s="1775" t="s">
        <v>2375</v>
      </c>
      <c r="E139" s="1775" t="s">
        <v>2376</v>
      </c>
      <c r="F139" s="1775" t="s">
        <v>2377</v>
      </c>
      <c r="G139" s="1775" t="s">
        <v>30</v>
      </c>
      <c r="H139" s="1775" t="s">
        <v>30</v>
      </c>
      <c r="I139" s="1775" t="s">
        <v>939</v>
      </c>
    </row>
    <row r="140" spans="1:9" ht="11.25" customHeight="1">
      <c r="A140" s="1775" t="s">
        <v>2293</v>
      </c>
      <c r="B140" s="1775" t="s">
        <v>16</v>
      </c>
      <c r="C140" s="1775" t="s">
        <v>30</v>
      </c>
      <c r="D140" s="1775" t="s">
        <v>2381</v>
      </c>
      <c r="E140" s="1775" t="s">
        <v>2382</v>
      </c>
      <c r="F140" s="1775" t="s">
        <v>56</v>
      </c>
      <c r="G140" s="1775" t="s">
        <v>30</v>
      </c>
      <c r="H140" s="1775" t="s">
        <v>30</v>
      </c>
      <c r="I140" s="1775" t="s">
        <v>939</v>
      </c>
    </row>
    <row r="141" spans="1:9" ht="11.25" customHeight="1">
      <c r="A141" s="1775" t="s">
        <v>2293</v>
      </c>
      <c r="B141" s="1775" t="s">
        <v>16</v>
      </c>
      <c r="C141" s="1775" t="s">
        <v>2383</v>
      </c>
      <c r="D141" s="1775" t="s">
        <v>2384</v>
      </c>
      <c r="E141" s="1775" t="s">
        <v>2321</v>
      </c>
      <c r="F141" s="1775" t="s">
        <v>2352</v>
      </c>
      <c r="G141" s="1775" t="s">
        <v>30</v>
      </c>
      <c r="H141" s="1775" t="s">
        <v>30</v>
      </c>
      <c r="I141" s="1775" t="s">
        <v>939</v>
      </c>
    </row>
    <row r="142" spans="1:9" ht="11.25" customHeight="1">
      <c r="A142" s="1775" t="s">
        <v>2293</v>
      </c>
      <c r="B142" s="1775" t="s">
        <v>16</v>
      </c>
      <c r="C142" s="1775" t="s">
        <v>2399</v>
      </c>
      <c r="D142" s="1775" t="s">
        <v>2400</v>
      </c>
      <c r="E142" s="1775" t="s">
        <v>2401</v>
      </c>
      <c r="F142" s="1775" t="s">
        <v>2311</v>
      </c>
      <c r="G142" s="1775" t="s">
        <v>30</v>
      </c>
      <c r="H142" s="1775" t="s">
        <v>30</v>
      </c>
      <c r="I142" s="1775" t="s">
        <v>939</v>
      </c>
    </row>
    <row r="143" spans="1:9" ht="11.25" customHeight="1">
      <c r="A143" s="1775" t="s">
        <v>2293</v>
      </c>
      <c r="B143" s="1775" t="s">
        <v>16</v>
      </c>
      <c r="C143" s="1775" t="s">
        <v>2412</v>
      </c>
      <c r="D143" s="1775" t="s">
        <v>2413</v>
      </c>
      <c r="E143" s="1775" t="s">
        <v>2414</v>
      </c>
      <c r="F143" s="1775" t="s">
        <v>2369</v>
      </c>
      <c r="G143" s="1775" t="s">
        <v>30</v>
      </c>
      <c r="H143" s="1775" t="s">
        <v>30</v>
      </c>
      <c r="I143" s="1775" t="s">
        <v>939</v>
      </c>
    </row>
    <row r="144" spans="1:9" ht="11.25" customHeight="1">
      <c r="A144" s="1775" t="s">
        <v>2293</v>
      </c>
      <c r="B144" s="1775" t="s">
        <v>16</v>
      </c>
      <c r="C144" s="1775" t="s">
        <v>2421</v>
      </c>
      <c r="D144" s="1775" t="s">
        <v>2422</v>
      </c>
      <c r="E144" s="1775" t="s">
        <v>2423</v>
      </c>
      <c r="F144" s="1775" t="s">
        <v>2311</v>
      </c>
      <c r="G144" s="1775" t="s">
        <v>30</v>
      </c>
      <c r="H144" s="1775" t="s">
        <v>30</v>
      </c>
      <c r="I144" s="1775" t="s">
        <v>939</v>
      </c>
    </row>
    <row r="145" spans="1:9" ht="11.25" customHeight="1">
      <c r="A145" s="1775" t="s">
        <v>2293</v>
      </c>
      <c r="B145" s="1775" t="s">
        <v>16</v>
      </c>
      <c r="C145" s="1775" t="s">
        <v>2438</v>
      </c>
      <c r="D145" s="1775" t="s">
        <v>2439</v>
      </c>
      <c r="E145" s="1775" t="s">
        <v>2440</v>
      </c>
      <c r="F145" s="1775" t="s">
        <v>2365</v>
      </c>
      <c r="G145" s="1775" t="s">
        <v>30</v>
      </c>
      <c r="H145" s="1775" t="s">
        <v>30</v>
      </c>
      <c r="I145" s="1775" t="s">
        <v>939</v>
      </c>
    </row>
    <row r="146" spans="1:9" ht="11.25" customHeight="1">
      <c r="A146" s="1775" t="s">
        <v>2293</v>
      </c>
      <c r="B146" s="1775" t="s">
        <v>16</v>
      </c>
      <c r="C146" s="1775" t="s">
        <v>2450</v>
      </c>
      <c r="D146" s="1775" t="s">
        <v>2451</v>
      </c>
      <c r="E146" s="1775" t="s">
        <v>2452</v>
      </c>
      <c r="F146" s="1775" t="s">
        <v>2311</v>
      </c>
      <c r="G146" s="1775" t="s">
        <v>30</v>
      </c>
      <c r="H146" s="1775" t="s">
        <v>30</v>
      </c>
      <c r="I146" s="1775" t="s">
        <v>939</v>
      </c>
    </row>
    <row r="147" spans="1:9" ht="11.25" customHeight="1">
      <c r="A147" s="1775" t="s">
        <v>2293</v>
      </c>
      <c r="B147" s="1775" t="s">
        <v>16</v>
      </c>
      <c r="C147" s="1775" t="s">
        <v>2456</v>
      </c>
      <c r="D147" s="1775" t="s">
        <v>2457</v>
      </c>
      <c r="E147" s="1775" t="s">
        <v>2458</v>
      </c>
      <c r="F147" s="1775" t="s">
        <v>2405</v>
      </c>
      <c r="G147" s="1775" t="s">
        <v>30</v>
      </c>
      <c r="H147" s="1775" t="s">
        <v>30</v>
      </c>
      <c r="I147" s="1775" t="s">
        <v>939</v>
      </c>
    </row>
    <row r="148" spans="1:9" ht="11.25" customHeight="1">
      <c r="A148" s="1775" t="s">
        <v>2293</v>
      </c>
      <c r="B148" s="1775" t="s">
        <v>16</v>
      </c>
      <c r="C148" s="1775" t="s">
        <v>2522</v>
      </c>
      <c r="D148" s="1775" t="s">
        <v>2523</v>
      </c>
      <c r="E148" s="1775" t="s">
        <v>2524</v>
      </c>
      <c r="F148" s="1775" t="s">
        <v>56</v>
      </c>
      <c r="G148" s="1775" t="s">
        <v>30</v>
      </c>
      <c r="H148" s="1775" t="s">
        <v>30</v>
      </c>
      <c r="I148" s="1775" t="s">
        <v>939</v>
      </c>
    </row>
    <row r="149" spans="1:9" ht="11.25" customHeight="1">
      <c r="A149" s="1775" t="s">
        <v>2293</v>
      </c>
      <c r="B149" s="1775" t="s">
        <v>16</v>
      </c>
      <c r="C149" s="1775" t="s">
        <v>2531</v>
      </c>
      <c r="D149" s="1775" t="s">
        <v>2532</v>
      </c>
      <c r="E149" s="1775" t="s">
        <v>2533</v>
      </c>
      <c r="F149" s="1775" t="s">
        <v>2377</v>
      </c>
      <c r="G149" s="1775" t="s">
        <v>2534</v>
      </c>
      <c r="H149" s="1775" t="s">
        <v>30</v>
      </c>
      <c r="I149" s="1775" t="s">
        <v>939</v>
      </c>
    </row>
    <row r="150" spans="1:9" ht="11.25" customHeight="1">
      <c r="A150" s="1775" t="s">
        <v>2293</v>
      </c>
      <c r="B150" s="1775" t="s">
        <v>16</v>
      </c>
      <c r="C150" s="1775" t="s">
        <v>2553</v>
      </c>
      <c r="D150" s="1775" t="s">
        <v>2554</v>
      </c>
      <c r="E150" s="1775" t="s">
        <v>2555</v>
      </c>
      <c r="F150" s="1775" t="s">
        <v>2311</v>
      </c>
      <c r="G150" s="1775" t="s">
        <v>30</v>
      </c>
      <c r="H150" s="1775" t="s">
        <v>30</v>
      </c>
      <c r="I150" s="1775" t="s">
        <v>939</v>
      </c>
    </row>
    <row r="151" spans="1:9" ht="11.25" customHeight="1">
      <c r="A151" s="1775" t="s">
        <v>2293</v>
      </c>
      <c r="B151" s="1775" t="s">
        <v>16</v>
      </c>
      <c r="C151" s="1775" t="s">
        <v>2604</v>
      </c>
      <c r="D151" s="1775" t="s">
        <v>2605</v>
      </c>
      <c r="E151" s="1775" t="s">
        <v>2606</v>
      </c>
      <c r="F151" s="1775" t="s">
        <v>56</v>
      </c>
      <c r="G151" s="1775" t="s">
        <v>2607</v>
      </c>
      <c r="H151" s="1775" t="s">
        <v>30</v>
      </c>
      <c r="I151" s="1775" t="s">
        <v>939</v>
      </c>
    </row>
    <row r="152" spans="1:9" ht="11.25" customHeight="1">
      <c r="A152" s="1775" t="s">
        <v>2293</v>
      </c>
      <c r="B152" s="1775" t="s">
        <v>16</v>
      </c>
      <c r="C152" s="1775" t="s">
        <v>2611</v>
      </c>
      <c r="D152" s="1775" t="s">
        <v>2612</v>
      </c>
      <c r="E152" s="1775" t="s">
        <v>2613</v>
      </c>
      <c r="F152" s="1775" t="s">
        <v>2311</v>
      </c>
      <c r="G152" s="1775" t="s">
        <v>2614</v>
      </c>
      <c r="H152" s="1775" t="s">
        <v>30</v>
      </c>
      <c r="I152" s="1775" t="s">
        <v>939</v>
      </c>
    </row>
    <row r="153" spans="1:9" ht="11.25" customHeight="1">
      <c r="A153" s="1775" t="s">
        <v>2293</v>
      </c>
      <c r="B153" s="1775" t="s">
        <v>16</v>
      </c>
      <c r="C153" s="1775" t="s">
        <v>2625</v>
      </c>
      <c r="D153" s="1775" t="s">
        <v>2626</v>
      </c>
      <c r="E153" s="1775" t="s">
        <v>2627</v>
      </c>
      <c r="F153" s="1775" t="s">
        <v>2365</v>
      </c>
      <c r="G153" s="1775" t="s">
        <v>30</v>
      </c>
      <c r="H153" s="1775" t="s">
        <v>30</v>
      </c>
      <c r="I153" s="1775" t="s">
        <v>939</v>
      </c>
    </row>
    <row r="154" spans="1:9" ht="11.25" customHeight="1">
      <c r="A154" s="1775" t="s">
        <v>2293</v>
      </c>
      <c r="B154" s="1775" t="s">
        <v>16</v>
      </c>
      <c r="C154" s="1775" t="s">
        <v>2628</v>
      </c>
      <c r="D154" s="1775" t="s">
        <v>2629</v>
      </c>
      <c r="E154" s="1775" t="s">
        <v>2630</v>
      </c>
      <c r="F154" s="1775" t="s">
        <v>56</v>
      </c>
      <c r="G154" s="1775" t="s">
        <v>30</v>
      </c>
      <c r="H154" s="1775" t="s">
        <v>30</v>
      </c>
      <c r="I154" s="1775" t="s">
        <v>939</v>
      </c>
    </row>
    <row r="155" spans="1:9" ht="11.25" customHeight="1">
      <c r="A155" s="1775" t="s">
        <v>2293</v>
      </c>
      <c r="B155" s="1775" t="s">
        <v>16</v>
      </c>
      <c r="C155" s="1775" t="s">
        <v>2631</v>
      </c>
      <c r="D155" s="1775" t="s">
        <v>2632</v>
      </c>
      <c r="E155" s="1775" t="s">
        <v>2633</v>
      </c>
      <c r="F155" s="1775" t="s">
        <v>56</v>
      </c>
      <c r="G155" s="1775" t="s">
        <v>30</v>
      </c>
      <c r="H155" s="1775" t="s">
        <v>30</v>
      </c>
      <c r="I155" s="1775" t="s">
        <v>939</v>
      </c>
    </row>
    <row r="156" spans="1:9" ht="11.25" customHeight="1">
      <c r="A156" s="1775" t="s">
        <v>2293</v>
      </c>
      <c r="B156" s="1775" t="s">
        <v>16</v>
      </c>
      <c r="C156" s="1775" t="s">
        <v>2637</v>
      </c>
      <c r="D156" s="1775" t="s">
        <v>2638</v>
      </c>
      <c r="E156" s="1775" t="s">
        <v>2639</v>
      </c>
      <c r="F156" s="1775" t="s">
        <v>56</v>
      </c>
      <c r="G156" s="1775" t="s">
        <v>30</v>
      </c>
      <c r="H156" s="1775" t="s">
        <v>30</v>
      </c>
      <c r="I156" s="1775" t="s">
        <v>939</v>
      </c>
    </row>
    <row r="157" spans="1:9" ht="11.25" customHeight="1">
      <c r="A157" s="1775" t="s">
        <v>2293</v>
      </c>
      <c r="B157" s="1775" t="s">
        <v>16</v>
      </c>
      <c r="C157" s="1775" t="s">
        <v>2653</v>
      </c>
      <c r="D157" s="1775" t="s">
        <v>2654</v>
      </c>
      <c r="E157" s="1775" t="s">
        <v>2655</v>
      </c>
      <c r="F157" s="1775" t="s">
        <v>2311</v>
      </c>
      <c r="G157" s="1775" t="s">
        <v>30</v>
      </c>
      <c r="H157" s="1775" t="s">
        <v>30</v>
      </c>
      <c r="I157" s="1775" t="s">
        <v>939</v>
      </c>
    </row>
    <row r="158" spans="1:9" ht="11.25" customHeight="1">
      <c r="A158" s="1775" t="s">
        <v>2293</v>
      </c>
      <c r="B158" s="1775" t="s">
        <v>16</v>
      </c>
      <c r="C158" s="1775" t="s">
        <v>2656</v>
      </c>
      <c r="D158" s="1775" t="s">
        <v>2657</v>
      </c>
      <c r="E158" s="1775" t="s">
        <v>2658</v>
      </c>
      <c r="F158" s="1775" t="s">
        <v>2659</v>
      </c>
      <c r="G158" s="1775" t="s">
        <v>2660</v>
      </c>
      <c r="H158" s="1775" t="s">
        <v>30</v>
      </c>
      <c r="I158" s="1775" t="s">
        <v>939</v>
      </c>
    </row>
    <row r="159" spans="1:9" ht="11.25" customHeight="1">
      <c r="A159" s="1775" t="s">
        <v>2293</v>
      </c>
      <c r="B159" s="1775" t="s">
        <v>16</v>
      </c>
      <c r="C159" s="1775" t="s">
        <v>2693</v>
      </c>
      <c r="D159" s="1775" t="s">
        <v>2694</v>
      </c>
      <c r="E159" s="1775" t="s">
        <v>2695</v>
      </c>
      <c r="F159" s="1775" t="s">
        <v>2696</v>
      </c>
      <c r="G159" s="1775" t="s">
        <v>30</v>
      </c>
      <c r="H159" s="1775" t="s">
        <v>30</v>
      </c>
      <c r="I159" s="1775" t="s">
        <v>939</v>
      </c>
    </row>
    <row r="160" spans="1:9" ht="11.25" customHeight="1">
      <c r="A160" s="1775" t="s">
        <v>2293</v>
      </c>
      <c r="B160" s="1775" t="s">
        <v>16</v>
      </c>
      <c r="C160" s="1775" t="s">
        <v>2697</v>
      </c>
      <c r="D160" s="1775" t="s">
        <v>2698</v>
      </c>
      <c r="E160" s="1775" t="s">
        <v>2699</v>
      </c>
      <c r="F160" s="1775" t="s">
        <v>2365</v>
      </c>
      <c r="G160" s="1775" t="s">
        <v>30</v>
      </c>
      <c r="H160" s="1775" t="s">
        <v>30</v>
      </c>
      <c r="I160" s="1775" t="s">
        <v>939</v>
      </c>
    </row>
    <row r="161" spans="1:9" ht="11.25" customHeight="1">
      <c r="A161" s="1775" t="s">
        <v>2293</v>
      </c>
      <c r="B161" s="1775" t="s">
        <v>16</v>
      </c>
      <c r="C161" s="1775" t="s">
        <v>2709</v>
      </c>
      <c r="D161" s="1775" t="s">
        <v>2710</v>
      </c>
      <c r="E161" s="1775" t="s">
        <v>2703</v>
      </c>
      <c r="F161" s="1775" t="s">
        <v>2708</v>
      </c>
      <c r="G161" s="1775" t="s">
        <v>30</v>
      </c>
      <c r="H161" s="1775" t="s">
        <v>30</v>
      </c>
      <c r="I161" s="1775" t="s">
        <v>939</v>
      </c>
    </row>
    <row r="162" spans="1:9" ht="11.25" customHeight="1">
      <c r="A162" s="1775" t="s">
        <v>2293</v>
      </c>
      <c r="B162" s="1775" t="s">
        <v>16</v>
      </c>
      <c r="C162" s="1775" t="s">
        <v>2714</v>
      </c>
      <c r="D162" s="1775" t="s">
        <v>2715</v>
      </c>
      <c r="E162" s="1775" t="s">
        <v>2716</v>
      </c>
      <c r="F162" s="1775" t="s">
        <v>2717</v>
      </c>
      <c r="G162" s="1775" t="s">
        <v>30</v>
      </c>
      <c r="H162" s="1775" t="s">
        <v>30</v>
      </c>
      <c r="I162" s="1775" t="s">
        <v>939</v>
      </c>
    </row>
    <row r="163" spans="1:9" ht="11.25" customHeight="1">
      <c r="A163" s="1775" t="s">
        <v>2293</v>
      </c>
      <c r="B163" s="1775" t="s">
        <v>16</v>
      </c>
      <c r="C163" s="1775" t="s">
        <v>2721</v>
      </c>
      <c r="D163" s="1775" t="s">
        <v>2722</v>
      </c>
      <c r="E163" s="1775" t="s">
        <v>2716</v>
      </c>
      <c r="F163" s="1775" t="s">
        <v>2723</v>
      </c>
      <c r="G163" s="1775" t="s">
        <v>30</v>
      </c>
      <c r="H163" s="1775" t="s">
        <v>30</v>
      </c>
      <c r="I163" s="1775" t="s">
        <v>939</v>
      </c>
    </row>
    <row r="164" spans="1:9" ht="11.25" customHeight="1">
      <c r="A164" s="1775" t="s">
        <v>2293</v>
      </c>
      <c r="B164" s="1775" t="s">
        <v>16</v>
      </c>
      <c r="C164" s="1775" t="s">
        <v>2300</v>
      </c>
      <c r="D164" s="1775" t="s">
        <v>2301</v>
      </c>
      <c r="E164" s="1775" t="s">
        <v>2302</v>
      </c>
      <c r="F164" s="1775" t="s">
        <v>56</v>
      </c>
      <c r="G164" s="1775" t="s">
        <v>30</v>
      </c>
      <c r="H164" s="1775" t="s">
        <v>30</v>
      </c>
      <c r="I164" s="1775" t="s">
        <v>899</v>
      </c>
    </row>
    <row r="165" spans="1:9" ht="11.25" customHeight="1">
      <c r="A165" s="1775" t="s">
        <v>2293</v>
      </c>
      <c r="B165" s="1775" t="s">
        <v>16</v>
      </c>
      <c r="C165" s="1775" t="s">
        <v>2731</v>
      </c>
      <c r="D165" s="1775" t="s">
        <v>2732</v>
      </c>
      <c r="E165" s="1775" t="s">
        <v>2733</v>
      </c>
      <c r="F165" s="1775" t="s">
        <v>2365</v>
      </c>
      <c r="G165" s="1775" t="s">
        <v>30</v>
      </c>
      <c r="H165" s="1775" t="s">
        <v>30</v>
      </c>
      <c r="I165" s="1775" t="s">
        <v>899</v>
      </c>
    </row>
    <row r="166" spans="1:9" ht="11.25" customHeight="1">
      <c r="A166" s="1775" t="s">
        <v>2293</v>
      </c>
      <c r="B166" s="1775" t="s">
        <v>16</v>
      </c>
      <c r="C166" s="1775" t="s">
        <v>2308</v>
      </c>
      <c r="D166" s="1775" t="s">
        <v>2309</v>
      </c>
      <c r="E166" s="1775" t="s">
        <v>2310</v>
      </c>
      <c r="F166" s="1775" t="s">
        <v>2311</v>
      </c>
      <c r="G166" s="1775" t="s">
        <v>30</v>
      </c>
      <c r="H166" s="1775" t="s">
        <v>30</v>
      </c>
      <c r="I166" s="1775" t="s">
        <v>899</v>
      </c>
    </row>
    <row r="167" spans="1:9" ht="11.25" customHeight="1">
      <c r="A167" s="1775" t="s">
        <v>2293</v>
      </c>
      <c r="B167" s="1775" t="s">
        <v>16</v>
      </c>
      <c r="C167" s="1775" t="s">
        <v>2312</v>
      </c>
      <c r="D167" s="1775" t="s">
        <v>2313</v>
      </c>
      <c r="E167" s="1775" t="s">
        <v>2314</v>
      </c>
      <c r="F167" s="1775" t="s">
        <v>2311</v>
      </c>
      <c r="G167" s="1775" t="s">
        <v>30</v>
      </c>
      <c r="H167" s="1775" t="s">
        <v>30</v>
      </c>
      <c r="I167" s="1775" t="s">
        <v>899</v>
      </c>
    </row>
    <row r="168" spans="1:9" ht="11.25" customHeight="1">
      <c r="A168" s="1775" t="s">
        <v>2293</v>
      </c>
      <c r="B168" s="1775" t="s">
        <v>16</v>
      </c>
      <c r="C168" s="1775" t="s">
        <v>2319</v>
      </c>
      <c r="D168" s="1775" t="s">
        <v>2320</v>
      </c>
      <c r="E168" s="1775" t="s">
        <v>2321</v>
      </c>
      <c r="F168" s="1775" t="s">
        <v>56</v>
      </c>
      <c r="G168" s="1775" t="s">
        <v>30</v>
      </c>
      <c r="H168" s="1775" t="s">
        <v>30</v>
      </c>
      <c r="I168" s="1775" t="s">
        <v>899</v>
      </c>
    </row>
    <row r="169" spans="1:9" ht="11.25" customHeight="1">
      <c r="A169" s="1775" t="s">
        <v>2293</v>
      </c>
      <c r="B169" s="1775" t="s">
        <v>16</v>
      </c>
      <c r="C169" s="1775" t="s">
        <v>2322</v>
      </c>
      <c r="D169" s="1775" t="s">
        <v>2323</v>
      </c>
      <c r="E169" s="1775" t="s">
        <v>2324</v>
      </c>
      <c r="F169" s="1775" t="s">
        <v>2311</v>
      </c>
      <c r="G169" s="1775" t="s">
        <v>30</v>
      </c>
      <c r="H169" s="1775" t="s">
        <v>30</v>
      </c>
      <c r="I169" s="1775" t="s">
        <v>899</v>
      </c>
    </row>
    <row r="170" spans="1:9" ht="11.25" customHeight="1">
      <c r="A170" s="1775" t="s">
        <v>2293</v>
      </c>
      <c r="B170" s="1775" t="s">
        <v>16</v>
      </c>
      <c r="C170" s="1775" t="s">
        <v>2734</v>
      </c>
      <c r="D170" s="1775" t="s">
        <v>2735</v>
      </c>
      <c r="E170" s="1775" t="s">
        <v>2736</v>
      </c>
      <c r="F170" s="1775" t="s">
        <v>56</v>
      </c>
      <c r="G170" s="1775" t="s">
        <v>30</v>
      </c>
      <c r="H170" s="1775" t="s">
        <v>30</v>
      </c>
      <c r="I170" s="1775" t="s">
        <v>899</v>
      </c>
    </row>
    <row r="171" spans="1:9" ht="11.25" customHeight="1">
      <c r="A171" s="1775" t="s">
        <v>2293</v>
      </c>
      <c r="B171" s="1775" t="s">
        <v>16</v>
      </c>
      <c r="C171" s="1775" t="s">
        <v>2328</v>
      </c>
      <c r="D171" s="1775" t="s">
        <v>2329</v>
      </c>
      <c r="E171" s="1775" t="s">
        <v>2330</v>
      </c>
      <c r="F171" s="1775" t="s">
        <v>56</v>
      </c>
      <c r="G171" s="1775" t="s">
        <v>30</v>
      </c>
      <c r="H171" s="1775" t="s">
        <v>30</v>
      </c>
      <c r="I171" s="1775" t="s">
        <v>899</v>
      </c>
    </row>
    <row r="172" spans="1:9" ht="11.25" customHeight="1">
      <c r="A172" s="1775" t="s">
        <v>2293</v>
      </c>
      <c r="B172" s="1775" t="s">
        <v>16</v>
      </c>
      <c r="C172" s="1775" t="s">
        <v>2338</v>
      </c>
      <c r="D172" s="1775" t="s">
        <v>2339</v>
      </c>
      <c r="E172" s="1775" t="s">
        <v>2340</v>
      </c>
      <c r="F172" s="1775" t="s">
        <v>56</v>
      </c>
      <c r="G172" s="1775" t="s">
        <v>30</v>
      </c>
      <c r="H172" s="1775" t="s">
        <v>30</v>
      </c>
      <c r="I172" s="1775" t="s">
        <v>899</v>
      </c>
    </row>
    <row r="173" spans="1:9" ht="11.25" customHeight="1">
      <c r="A173" s="1775" t="s">
        <v>2293</v>
      </c>
      <c r="B173" s="1775" t="s">
        <v>16</v>
      </c>
      <c r="C173" s="1775" t="s">
        <v>2354</v>
      </c>
      <c r="D173" s="1775" t="s">
        <v>2355</v>
      </c>
      <c r="E173" s="1775" t="s">
        <v>2356</v>
      </c>
      <c r="F173" s="1775" t="s">
        <v>2311</v>
      </c>
      <c r="G173" s="1775" t="s">
        <v>2357</v>
      </c>
      <c r="H173" s="1775" t="s">
        <v>30</v>
      </c>
      <c r="I173" s="1775" t="s">
        <v>899</v>
      </c>
    </row>
    <row r="174" spans="1:9" ht="11.25" customHeight="1">
      <c r="A174" s="1775" t="s">
        <v>2293</v>
      </c>
      <c r="B174" s="1775" t="s">
        <v>16</v>
      </c>
      <c r="C174" s="1775" t="s">
        <v>2358</v>
      </c>
      <c r="D174" s="1775" t="s">
        <v>2359</v>
      </c>
      <c r="E174" s="1775" t="s">
        <v>2360</v>
      </c>
      <c r="F174" s="1775" t="s">
        <v>2311</v>
      </c>
      <c r="G174" s="1775" t="s">
        <v>2361</v>
      </c>
      <c r="H174" s="1775" t="s">
        <v>30</v>
      </c>
      <c r="I174" s="1775" t="s">
        <v>899</v>
      </c>
    </row>
    <row r="175" spans="1:9" ht="11.25" customHeight="1">
      <c r="A175" s="1775" t="s">
        <v>2293</v>
      </c>
      <c r="B175" s="1775" t="s">
        <v>16</v>
      </c>
      <c r="C175" s="1775" t="s">
        <v>2362</v>
      </c>
      <c r="D175" s="1775" t="s">
        <v>2363</v>
      </c>
      <c r="E175" s="1775" t="s">
        <v>2364</v>
      </c>
      <c r="F175" s="1775" t="s">
        <v>2365</v>
      </c>
      <c r="G175" s="1775" t="s">
        <v>30</v>
      </c>
      <c r="H175" s="1775" t="s">
        <v>30</v>
      </c>
      <c r="I175" s="1775" t="s">
        <v>899</v>
      </c>
    </row>
    <row r="176" spans="1:9" ht="11.25" customHeight="1">
      <c r="A176" s="1775" t="s">
        <v>2293</v>
      </c>
      <c r="B176" s="1775" t="s">
        <v>16</v>
      </c>
      <c r="C176" s="1775" t="s">
        <v>2737</v>
      </c>
      <c r="D176" s="1775" t="s">
        <v>2738</v>
      </c>
      <c r="E176" s="1775" t="s">
        <v>2739</v>
      </c>
      <c r="F176" s="1775" t="s">
        <v>2369</v>
      </c>
      <c r="G176" s="1775" t="s">
        <v>30</v>
      </c>
      <c r="H176" s="1775" t="s">
        <v>30</v>
      </c>
      <c r="I176" s="1775" t="s">
        <v>899</v>
      </c>
    </row>
    <row r="177" spans="1:9" ht="11.25" customHeight="1">
      <c r="A177" s="1775" t="s">
        <v>2293</v>
      </c>
      <c r="B177" s="1775" t="s">
        <v>16</v>
      </c>
      <c r="C177" s="1775" t="s">
        <v>2370</v>
      </c>
      <c r="D177" s="1775" t="s">
        <v>2371</v>
      </c>
      <c r="E177" s="1775" t="s">
        <v>2372</v>
      </c>
      <c r="F177" s="1775" t="s">
        <v>56</v>
      </c>
      <c r="G177" s="1775" t="s">
        <v>2373</v>
      </c>
      <c r="H177" s="1775" t="s">
        <v>30</v>
      </c>
      <c r="I177" s="1775" t="s">
        <v>899</v>
      </c>
    </row>
    <row r="178" spans="1:9" ht="11.25" customHeight="1">
      <c r="A178" s="1775" t="s">
        <v>2293</v>
      </c>
      <c r="B178" s="1775" t="s">
        <v>16</v>
      </c>
      <c r="C178" s="1775" t="s">
        <v>2374</v>
      </c>
      <c r="D178" s="1775" t="s">
        <v>2375</v>
      </c>
      <c r="E178" s="1775" t="s">
        <v>2376</v>
      </c>
      <c r="F178" s="1775" t="s">
        <v>2377</v>
      </c>
      <c r="G178" s="1775" t="s">
        <v>30</v>
      </c>
      <c r="H178" s="1775" t="s">
        <v>30</v>
      </c>
      <c r="I178" s="1775" t="s">
        <v>899</v>
      </c>
    </row>
    <row r="179" spans="1:9" ht="11.25" customHeight="1">
      <c r="A179" s="1775" t="s">
        <v>2293</v>
      </c>
      <c r="B179" s="1775" t="s">
        <v>16</v>
      </c>
      <c r="C179" s="1775" t="s">
        <v>30</v>
      </c>
      <c r="D179" s="1775" t="s">
        <v>2381</v>
      </c>
      <c r="E179" s="1775" t="s">
        <v>2382</v>
      </c>
      <c r="F179" s="1775" t="s">
        <v>56</v>
      </c>
      <c r="G179" s="1775" t="s">
        <v>30</v>
      </c>
      <c r="H179" s="1775" t="s">
        <v>30</v>
      </c>
      <c r="I179" s="1775" t="s">
        <v>899</v>
      </c>
    </row>
    <row r="180" spans="1:9" ht="11.25" customHeight="1">
      <c r="A180" s="1775" t="s">
        <v>2293</v>
      </c>
      <c r="B180" s="1775" t="s">
        <v>16</v>
      </c>
      <c r="C180" s="1775" t="s">
        <v>2383</v>
      </c>
      <c r="D180" s="1775" t="s">
        <v>2384</v>
      </c>
      <c r="E180" s="1775" t="s">
        <v>2321</v>
      </c>
      <c r="F180" s="1775" t="s">
        <v>2352</v>
      </c>
      <c r="G180" s="1775" t="s">
        <v>30</v>
      </c>
      <c r="H180" s="1775" t="s">
        <v>30</v>
      </c>
      <c r="I180" s="1775" t="s">
        <v>899</v>
      </c>
    </row>
    <row r="181" spans="1:9" ht="11.25" customHeight="1">
      <c r="A181" s="1775" t="s">
        <v>2293</v>
      </c>
      <c r="B181" s="1775" t="s">
        <v>16</v>
      </c>
      <c r="C181" s="1775" t="s">
        <v>2389</v>
      </c>
      <c r="D181" s="1775" t="s">
        <v>2390</v>
      </c>
      <c r="E181" s="1775" t="s">
        <v>2391</v>
      </c>
      <c r="F181" s="1775" t="s">
        <v>621</v>
      </c>
      <c r="G181" s="1775" t="s">
        <v>30</v>
      </c>
      <c r="H181" s="1775" t="s">
        <v>30</v>
      </c>
      <c r="I181" s="1775" t="s">
        <v>899</v>
      </c>
    </row>
    <row r="182" spans="1:9" ht="11.25" customHeight="1">
      <c r="A182" s="1775" t="s">
        <v>2293</v>
      </c>
      <c r="B182" s="1775" t="s">
        <v>16</v>
      </c>
      <c r="C182" s="1775" t="s">
        <v>2392</v>
      </c>
      <c r="D182" s="1775" t="s">
        <v>2393</v>
      </c>
      <c r="E182" s="1775" t="s">
        <v>2394</v>
      </c>
      <c r="F182" s="1775" t="s">
        <v>621</v>
      </c>
      <c r="G182" s="1775" t="s">
        <v>30</v>
      </c>
      <c r="H182" s="1775" t="s">
        <v>30</v>
      </c>
      <c r="I182" s="1775" t="s">
        <v>899</v>
      </c>
    </row>
    <row r="183" spans="1:9" ht="11.25" customHeight="1">
      <c r="A183" s="1775" t="s">
        <v>2293</v>
      </c>
      <c r="B183" s="1775" t="s">
        <v>16</v>
      </c>
      <c r="C183" s="1775" t="s">
        <v>2395</v>
      </c>
      <c r="D183" s="1775" t="s">
        <v>2396</v>
      </c>
      <c r="E183" s="1775" t="s">
        <v>2397</v>
      </c>
      <c r="F183" s="1775" t="s">
        <v>2398</v>
      </c>
      <c r="G183" s="1775" t="s">
        <v>30</v>
      </c>
      <c r="H183" s="1775" t="s">
        <v>30</v>
      </c>
      <c r="I183" s="1775" t="s">
        <v>899</v>
      </c>
    </row>
    <row r="184" spans="1:9" ht="11.25" customHeight="1">
      <c r="A184" s="1775" t="s">
        <v>2293</v>
      </c>
      <c r="B184" s="1775" t="s">
        <v>16</v>
      </c>
      <c r="C184" s="1775" t="s">
        <v>2399</v>
      </c>
      <c r="D184" s="1775" t="s">
        <v>2400</v>
      </c>
      <c r="E184" s="1775" t="s">
        <v>2401</v>
      </c>
      <c r="F184" s="1775" t="s">
        <v>2311</v>
      </c>
      <c r="G184" s="1775" t="s">
        <v>30</v>
      </c>
      <c r="H184" s="1775" t="s">
        <v>30</v>
      </c>
      <c r="I184" s="1775" t="s">
        <v>899</v>
      </c>
    </row>
    <row r="185" spans="1:9" ht="11.25" customHeight="1">
      <c r="A185" s="1775" t="s">
        <v>2293</v>
      </c>
      <c r="B185" s="1775" t="s">
        <v>16</v>
      </c>
      <c r="C185" s="1775" t="s">
        <v>2740</v>
      </c>
      <c r="D185" s="1775" t="s">
        <v>2741</v>
      </c>
      <c r="E185" s="1775" t="s">
        <v>2742</v>
      </c>
      <c r="F185" s="1775" t="s">
        <v>2369</v>
      </c>
      <c r="G185" s="1775" t="s">
        <v>30</v>
      </c>
      <c r="H185" s="1775" t="s">
        <v>30</v>
      </c>
      <c r="I185" s="1775" t="s">
        <v>899</v>
      </c>
    </row>
    <row r="186" spans="1:9" ht="11.25" customHeight="1">
      <c r="A186" s="1775" t="s">
        <v>2293</v>
      </c>
      <c r="B186" s="1775" t="s">
        <v>16</v>
      </c>
      <c r="C186" s="1775" t="s">
        <v>2412</v>
      </c>
      <c r="D186" s="1775" t="s">
        <v>2413</v>
      </c>
      <c r="E186" s="1775" t="s">
        <v>2414</v>
      </c>
      <c r="F186" s="1775" t="s">
        <v>2369</v>
      </c>
      <c r="G186" s="1775" t="s">
        <v>30</v>
      </c>
      <c r="H186" s="1775" t="s">
        <v>30</v>
      </c>
      <c r="I186" s="1775" t="s">
        <v>899</v>
      </c>
    </row>
    <row r="187" spans="1:9" ht="11.25" customHeight="1">
      <c r="A187" s="1775" t="s">
        <v>2293</v>
      </c>
      <c r="B187" s="1775" t="s">
        <v>16</v>
      </c>
      <c r="C187" s="1775" t="s">
        <v>2415</v>
      </c>
      <c r="D187" s="1775" t="s">
        <v>2416</v>
      </c>
      <c r="E187" s="1775" t="s">
        <v>2417</v>
      </c>
      <c r="F187" s="1775" t="s">
        <v>2369</v>
      </c>
      <c r="G187" s="1775" t="s">
        <v>30</v>
      </c>
      <c r="H187" s="1775" t="s">
        <v>30</v>
      </c>
      <c r="I187" s="1775" t="s">
        <v>899</v>
      </c>
    </row>
    <row r="188" spans="1:9" ht="11.25" customHeight="1">
      <c r="A188" s="1775" t="s">
        <v>2293</v>
      </c>
      <c r="B188" s="1775" t="s">
        <v>16</v>
      </c>
      <c r="C188" s="1775" t="s">
        <v>2418</v>
      </c>
      <c r="D188" s="1775" t="s">
        <v>2419</v>
      </c>
      <c r="E188" s="1775" t="s">
        <v>2420</v>
      </c>
      <c r="F188" s="1775" t="s">
        <v>2311</v>
      </c>
      <c r="G188" s="1775" t="s">
        <v>30</v>
      </c>
      <c r="H188" s="1775" t="s">
        <v>30</v>
      </c>
      <c r="I188" s="1775" t="s">
        <v>899</v>
      </c>
    </row>
    <row r="189" spans="1:9" ht="11.25" customHeight="1">
      <c r="A189" s="1775" t="s">
        <v>2293</v>
      </c>
      <c r="B189" s="1775" t="s">
        <v>16</v>
      </c>
      <c r="C189" s="1775" t="s">
        <v>2421</v>
      </c>
      <c r="D189" s="1775" t="s">
        <v>2422</v>
      </c>
      <c r="E189" s="1775" t="s">
        <v>2423</v>
      </c>
      <c r="F189" s="1775" t="s">
        <v>2311</v>
      </c>
      <c r="G189" s="1775" t="s">
        <v>30</v>
      </c>
      <c r="H189" s="1775" t="s">
        <v>30</v>
      </c>
      <c r="I189" s="1775" t="s">
        <v>899</v>
      </c>
    </row>
    <row r="190" spans="1:9" ht="11.25" customHeight="1">
      <c r="A190" s="1775" t="s">
        <v>2293</v>
      </c>
      <c r="B190" s="1775" t="s">
        <v>16</v>
      </c>
      <c r="C190" s="1775" t="s">
        <v>2424</v>
      </c>
      <c r="D190" s="1775" t="s">
        <v>2425</v>
      </c>
      <c r="E190" s="1775" t="s">
        <v>2426</v>
      </c>
      <c r="F190" s="1775" t="s">
        <v>2405</v>
      </c>
      <c r="G190" s="1775" t="s">
        <v>2427</v>
      </c>
      <c r="H190" s="1775" t="s">
        <v>30</v>
      </c>
      <c r="I190" s="1775" t="s">
        <v>899</v>
      </c>
    </row>
    <row r="191" spans="1:9" ht="11.25" customHeight="1">
      <c r="A191" s="1775" t="s">
        <v>2293</v>
      </c>
      <c r="B191" s="1775" t="s">
        <v>16</v>
      </c>
      <c r="C191" s="1775" t="s">
        <v>2428</v>
      </c>
      <c r="D191" s="1775" t="s">
        <v>2429</v>
      </c>
      <c r="E191" s="1775" t="s">
        <v>2430</v>
      </c>
      <c r="F191" s="1775" t="s">
        <v>2369</v>
      </c>
      <c r="G191" s="1775" t="s">
        <v>30</v>
      </c>
      <c r="H191" s="1775" t="s">
        <v>30</v>
      </c>
      <c r="I191" s="1775" t="s">
        <v>899</v>
      </c>
    </row>
    <row r="192" spans="1:9" ht="11.25" customHeight="1">
      <c r="A192" s="1775" t="s">
        <v>2293</v>
      </c>
      <c r="B192" s="1775" t="s">
        <v>16</v>
      </c>
      <c r="C192" s="1775" t="s">
        <v>2431</v>
      </c>
      <c r="D192" s="1775" t="s">
        <v>2432</v>
      </c>
      <c r="E192" s="1775" t="s">
        <v>2433</v>
      </c>
      <c r="F192" s="1775" t="s">
        <v>2405</v>
      </c>
      <c r="G192" s="1775" t="s">
        <v>30</v>
      </c>
      <c r="H192" s="1775" t="s">
        <v>30</v>
      </c>
      <c r="I192" s="1775" t="s">
        <v>899</v>
      </c>
    </row>
    <row r="193" spans="1:9" ht="11.25" customHeight="1">
      <c r="A193" s="1775" t="s">
        <v>2293</v>
      </c>
      <c r="B193" s="1775" t="s">
        <v>16</v>
      </c>
      <c r="C193" s="1775" t="s">
        <v>2434</v>
      </c>
      <c r="D193" s="1775" t="s">
        <v>2435</v>
      </c>
      <c r="E193" s="1775" t="s">
        <v>2436</v>
      </c>
      <c r="F193" s="1775" t="s">
        <v>2437</v>
      </c>
      <c r="G193" s="1775" t="s">
        <v>30</v>
      </c>
      <c r="H193" s="1775" t="s">
        <v>30</v>
      </c>
      <c r="I193" s="1775" t="s">
        <v>899</v>
      </c>
    </row>
    <row r="194" spans="1:9" ht="11.25" customHeight="1">
      <c r="A194" s="1775" t="s">
        <v>2293</v>
      </c>
      <c r="B194" s="1775" t="s">
        <v>16</v>
      </c>
      <c r="C194" s="1775" t="s">
        <v>2438</v>
      </c>
      <c r="D194" s="1775" t="s">
        <v>2439</v>
      </c>
      <c r="E194" s="1775" t="s">
        <v>2440</v>
      </c>
      <c r="F194" s="1775" t="s">
        <v>2365</v>
      </c>
      <c r="G194" s="1775" t="s">
        <v>30</v>
      </c>
      <c r="H194" s="1775" t="s">
        <v>30</v>
      </c>
      <c r="I194" s="1775" t="s">
        <v>899</v>
      </c>
    </row>
    <row r="195" spans="1:9" ht="11.25" customHeight="1">
      <c r="A195" s="1775" t="s">
        <v>2293</v>
      </c>
      <c r="B195" s="1775" t="s">
        <v>16</v>
      </c>
      <c r="C195" s="1775" t="s">
        <v>2441</v>
      </c>
      <c r="D195" s="1775" t="s">
        <v>2442</v>
      </c>
      <c r="E195" s="1775" t="s">
        <v>2443</v>
      </c>
      <c r="F195" s="1775" t="s">
        <v>2405</v>
      </c>
      <c r="G195" s="1775" t="s">
        <v>30</v>
      </c>
      <c r="H195" s="1775" t="s">
        <v>30</v>
      </c>
      <c r="I195" s="1775" t="s">
        <v>899</v>
      </c>
    </row>
    <row r="196" spans="1:9" ht="11.25" customHeight="1">
      <c r="A196" s="1775" t="s">
        <v>2293</v>
      </c>
      <c r="B196" s="1775" t="s">
        <v>16</v>
      </c>
      <c r="C196" s="1775" t="s">
        <v>2444</v>
      </c>
      <c r="D196" s="1775" t="s">
        <v>2445</v>
      </c>
      <c r="E196" s="1775" t="s">
        <v>2446</v>
      </c>
      <c r="F196" s="1775" t="s">
        <v>2369</v>
      </c>
      <c r="G196" s="1775" t="s">
        <v>30</v>
      </c>
      <c r="H196" s="1775" t="s">
        <v>30</v>
      </c>
      <c r="I196" s="1775" t="s">
        <v>899</v>
      </c>
    </row>
    <row r="197" spans="1:9" ht="11.25" customHeight="1">
      <c r="A197" s="1775" t="s">
        <v>2293</v>
      </c>
      <c r="B197" s="1775" t="s">
        <v>16</v>
      </c>
      <c r="C197" s="1775" t="s">
        <v>2447</v>
      </c>
      <c r="D197" s="1775" t="s">
        <v>2448</v>
      </c>
      <c r="E197" s="1775" t="s">
        <v>2449</v>
      </c>
      <c r="F197" s="1775" t="s">
        <v>2405</v>
      </c>
      <c r="G197" s="1775" t="s">
        <v>30</v>
      </c>
      <c r="H197" s="1775" t="s">
        <v>30</v>
      </c>
      <c r="I197" s="1775" t="s">
        <v>899</v>
      </c>
    </row>
    <row r="198" spans="1:9" ht="11.25" customHeight="1">
      <c r="A198" s="1775" t="s">
        <v>2293</v>
      </c>
      <c r="B198" s="1775" t="s">
        <v>16</v>
      </c>
      <c r="C198" s="1775" t="s">
        <v>2450</v>
      </c>
      <c r="D198" s="1775" t="s">
        <v>2451</v>
      </c>
      <c r="E198" s="1775" t="s">
        <v>2452</v>
      </c>
      <c r="F198" s="1775" t="s">
        <v>2311</v>
      </c>
      <c r="G198" s="1775" t="s">
        <v>30</v>
      </c>
      <c r="H198" s="1775" t="s">
        <v>30</v>
      </c>
      <c r="I198" s="1775" t="s">
        <v>899</v>
      </c>
    </row>
    <row r="199" spans="1:9" ht="11.25" customHeight="1">
      <c r="A199" s="1775" t="s">
        <v>2293</v>
      </c>
      <c r="B199" s="1775" t="s">
        <v>16</v>
      </c>
      <c r="C199" s="1775" t="s">
        <v>2453</v>
      </c>
      <c r="D199" s="1775" t="s">
        <v>2454</v>
      </c>
      <c r="E199" s="1775" t="s">
        <v>2455</v>
      </c>
      <c r="F199" s="1775" t="s">
        <v>2365</v>
      </c>
      <c r="G199" s="1775" t="s">
        <v>30</v>
      </c>
      <c r="H199" s="1775" t="s">
        <v>30</v>
      </c>
      <c r="I199" s="1775" t="s">
        <v>899</v>
      </c>
    </row>
    <row r="200" spans="1:9" ht="11.25" customHeight="1">
      <c r="A200" s="1775" t="s">
        <v>2293</v>
      </c>
      <c r="B200" s="1775" t="s">
        <v>16</v>
      </c>
      <c r="C200" s="1775" t="s">
        <v>2456</v>
      </c>
      <c r="D200" s="1775" t="s">
        <v>2457</v>
      </c>
      <c r="E200" s="1775" t="s">
        <v>2458</v>
      </c>
      <c r="F200" s="1775" t="s">
        <v>2405</v>
      </c>
      <c r="G200" s="1775" t="s">
        <v>30</v>
      </c>
      <c r="H200" s="1775" t="s">
        <v>30</v>
      </c>
      <c r="I200" s="1775" t="s">
        <v>899</v>
      </c>
    </row>
    <row r="201" spans="1:9" ht="11.25" customHeight="1">
      <c r="A201" s="1775" t="s">
        <v>2293</v>
      </c>
      <c r="B201" s="1775" t="s">
        <v>16</v>
      </c>
      <c r="C201" s="1775" t="s">
        <v>2459</v>
      </c>
      <c r="D201" s="1775" t="s">
        <v>2460</v>
      </c>
      <c r="E201" s="1775" t="s">
        <v>2461</v>
      </c>
      <c r="F201" s="1775" t="s">
        <v>2462</v>
      </c>
      <c r="G201" s="1775" t="s">
        <v>30</v>
      </c>
      <c r="H201" s="1775" t="s">
        <v>30</v>
      </c>
      <c r="I201" s="1775" t="s">
        <v>899</v>
      </c>
    </row>
    <row r="202" spans="1:9" ht="11.25" customHeight="1">
      <c r="A202" s="1775" t="s">
        <v>2293</v>
      </c>
      <c r="B202" s="1775" t="s">
        <v>16</v>
      </c>
      <c r="C202" s="1775" t="s">
        <v>2743</v>
      </c>
      <c r="D202" s="1775" t="s">
        <v>2744</v>
      </c>
      <c r="E202" s="1775" t="s">
        <v>2745</v>
      </c>
      <c r="F202" s="1775" t="s">
        <v>2311</v>
      </c>
      <c r="G202" s="1775" t="s">
        <v>2746</v>
      </c>
      <c r="H202" s="1775" t="s">
        <v>30</v>
      </c>
      <c r="I202" s="1775" t="s">
        <v>899</v>
      </c>
    </row>
    <row r="203" spans="1:9" ht="11.25" customHeight="1">
      <c r="A203" s="1775" t="s">
        <v>2293</v>
      </c>
      <c r="B203" s="1775" t="s">
        <v>16</v>
      </c>
      <c r="C203" s="1775" t="s">
        <v>2475</v>
      </c>
      <c r="D203" s="1775" t="s">
        <v>2476</v>
      </c>
      <c r="E203" s="1775" t="s">
        <v>2477</v>
      </c>
      <c r="F203" s="1775" t="s">
        <v>2369</v>
      </c>
      <c r="G203" s="1775" t="s">
        <v>30</v>
      </c>
      <c r="H203" s="1775" t="s">
        <v>30</v>
      </c>
      <c r="I203" s="1775" t="s">
        <v>899</v>
      </c>
    </row>
    <row r="204" spans="1:9" ht="11.25" customHeight="1">
      <c r="A204" s="1775" t="s">
        <v>2293</v>
      </c>
      <c r="B204" s="1775" t="s">
        <v>16</v>
      </c>
      <c r="C204" s="1775" t="s">
        <v>2747</v>
      </c>
      <c r="D204" s="1775" t="s">
        <v>2748</v>
      </c>
      <c r="E204" s="1775" t="s">
        <v>2749</v>
      </c>
      <c r="F204" s="1775" t="s">
        <v>2377</v>
      </c>
      <c r="G204" s="1775" t="s">
        <v>2750</v>
      </c>
      <c r="H204" s="1775" t="s">
        <v>30</v>
      </c>
      <c r="I204" s="1775" t="s">
        <v>899</v>
      </c>
    </row>
    <row r="205" spans="1:9" ht="11.25" customHeight="1">
      <c r="A205" s="1775" t="s">
        <v>2293</v>
      </c>
      <c r="B205" s="1775" t="s">
        <v>16</v>
      </c>
      <c r="C205" s="1775" t="s">
        <v>2504</v>
      </c>
      <c r="D205" s="1775" t="s">
        <v>2505</v>
      </c>
      <c r="E205" s="1775" t="s">
        <v>2506</v>
      </c>
      <c r="F205" s="1775" t="s">
        <v>56</v>
      </c>
      <c r="G205" s="1775" t="s">
        <v>2507</v>
      </c>
      <c r="H205" s="1775" t="s">
        <v>30</v>
      </c>
      <c r="I205" s="1775" t="s">
        <v>899</v>
      </c>
    </row>
    <row r="206" spans="1:9" ht="11.25" customHeight="1">
      <c r="A206" s="1775" t="s">
        <v>2293</v>
      </c>
      <c r="B206" s="1775" t="s">
        <v>16</v>
      </c>
      <c r="C206" s="1775" t="s">
        <v>2512</v>
      </c>
      <c r="D206" s="1775" t="s">
        <v>2513</v>
      </c>
      <c r="E206" s="1775" t="s">
        <v>2514</v>
      </c>
      <c r="F206" s="1775" t="s">
        <v>2311</v>
      </c>
      <c r="G206" s="1775" t="s">
        <v>2515</v>
      </c>
      <c r="H206" s="1775" t="s">
        <v>30</v>
      </c>
      <c r="I206" s="1775" t="s">
        <v>899</v>
      </c>
    </row>
    <row r="207" spans="1:9" ht="11.25" customHeight="1">
      <c r="A207" s="1775" t="s">
        <v>2293</v>
      </c>
      <c r="B207" s="1775" t="s">
        <v>16</v>
      </c>
      <c r="C207" s="1775" t="s">
        <v>2516</v>
      </c>
      <c r="D207" s="1775" t="s">
        <v>2517</v>
      </c>
      <c r="E207" s="1775" t="s">
        <v>2518</v>
      </c>
      <c r="F207" s="1775" t="s">
        <v>2369</v>
      </c>
      <c r="G207" s="1775" t="s">
        <v>30</v>
      </c>
      <c r="H207" s="1775" t="s">
        <v>30</v>
      </c>
      <c r="I207" s="1775" t="s">
        <v>899</v>
      </c>
    </row>
    <row r="208" spans="1:9" ht="11.25" customHeight="1">
      <c r="A208" s="1775" t="s">
        <v>2293</v>
      </c>
      <c r="B208" s="1775" t="s">
        <v>16</v>
      </c>
      <c r="C208" s="1775" t="s">
        <v>2519</v>
      </c>
      <c r="D208" s="1775" t="s">
        <v>2520</v>
      </c>
      <c r="E208" s="1775" t="s">
        <v>2521</v>
      </c>
      <c r="F208" s="1775" t="s">
        <v>2405</v>
      </c>
      <c r="G208" s="1775" t="s">
        <v>30</v>
      </c>
      <c r="H208" s="1775" t="s">
        <v>30</v>
      </c>
      <c r="I208" s="1775" t="s">
        <v>899</v>
      </c>
    </row>
    <row r="209" spans="1:9" ht="11.25" customHeight="1">
      <c r="A209" s="1775" t="s">
        <v>2293</v>
      </c>
      <c r="B209" s="1775" t="s">
        <v>16</v>
      </c>
      <c r="C209" s="1775" t="s">
        <v>2531</v>
      </c>
      <c r="D209" s="1775" t="s">
        <v>2532</v>
      </c>
      <c r="E209" s="1775" t="s">
        <v>2533</v>
      </c>
      <c r="F209" s="1775" t="s">
        <v>2377</v>
      </c>
      <c r="G209" s="1775" t="s">
        <v>2534</v>
      </c>
      <c r="H209" s="1775" t="s">
        <v>30</v>
      </c>
      <c r="I209" s="1775" t="s">
        <v>899</v>
      </c>
    </row>
    <row r="210" spans="1:9" ht="11.25" customHeight="1">
      <c r="A210" s="1775" t="s">
        <v>2293</v>
      </c>
      <c r="B210" s="1775" t="s">
        <v>16</v>
      </c>
      <c r="C210" s="1775" t="s">
        <v>2550</v>
      </c>
      <c r="D210" s="1775" t="s">
        <v>2551</v>
      </c>
      <c r="E210" s="1775" t="s">
        <v>2552</v>
      </c>
      <c r="F210" s="1775" t="s">
        <v>2311</v>
      </c>
      <c r="G210" s="1775" t="s">
        <v>30</v>
      </c>
      <c r="H210" s="1775" t="s">
        <v>30</v>
      </c>
      <c r="I210" s="1775" t="s">
        <v>899</v>
      </c>
    </row>
    <row r="211" spans="1:9" ht="11.25" customHeight="1">
      <c r="A211" s="1775" t="s">
        <v>2293</v>
      </c>
      <c r="B211" s="1775" t="s">
        <v>16</v>
      </c>
      <c r="C211" s="1775" t="s">
        <v>2553</v>
      </c>
      <c r="D211" s="1775" t="s">
        <v>2554</v>
      </c>
      <c r="E211" s="1775" t="s">
        <v>2555</v>
      </c>
      <c r="F211" s="1775" t="s">
        <v>2311</v>
      </c>
      <c r="G211" s="1775" t="s">
        <v>30</v>
      </c>
      <c r="H211" s="1775" t="s">
        <v>30</v>
      </c>
      <c r="I211" s="1775" t="s">
        <v>899</v>
      </c>
    </row>
    <row r="212" spans="1:9" ht="11.25" customHeight="1">
      <c r="A212" s="1775" t="s">
        <v>2293</v>
      </c>
      <c r="B212" s="1775" t="s">
        <v>16</v>
      </c>
      <c r="C212" s="1775" t="s">
        <v>2570</v>
      </c>
      <c r="D212" s="1775" t="s">
        <v>2568</v>
      </c>
      <c r="E212" s="1775" t="s">
        <v>2571</v>
      </c>
      <c r="F212" s="1775" t="s">
        <v>56</v>
      </c>
      <c r="G212" s="1775" t="s">
        <v>30</v>
      </c>
      <c r="H212" s="1775" t="s">
        <v>30</v>
      </c>
      <c r="I212" s="1775" t="s">
        <v>899</v>
      </c>
    </row>
    <row r="213" spans="1:9" ht="11.25" customHeight="1">
      <c r="A213" s="1775" t="s">
        <v>2293</v>
      </c>
      <c r="B213" s="1775" t="s">
        <v>16</v>
      </c>
      <c r="C213" s="1775" t="s">
        <v>2575</v>
      </c>
      <c r="D213" s="1775" t="s">
        <v>2576</v>
      </c>
      <c r="E213" s="1775" t="s">
        <v>2577</v>
      </c>
      <c r="F213" s="1775" t="s">
        <v>2311</v>
      </c>
      <c r="G213" s="1775" t="s">
        <v>30</v>
      </c>
      <c r="H213" s="1775" t="s">
        <v>30</v>
      </c>
      <c r="I213" s="1775" t="s">
        <v>899</v>
      </c>
    </row>
    <row r="214" spans="1:9" ht="11.25" customHeight="1">
      <c r="A214" s="1775" t="s">
        <v>2293</v>
      </c>
      <c r="B214" s="1775" t="s">
        <v>16</v>
      </c>
      <c r="C214" s="1775" t="s">
        <v>2578</v>
      </c>
      <c r="D214" s="1775" t="s">
        <v>2579</v>
      </c>
      <c r="E214" s="1775" t="s">
        <v>2580</v>
      </c>
      <c r="F214" s="1775" t="s">
        <v>2377</v>
      </c>
      <c r="G214" s="1775" t="s">
        <v>30</v>
      </c>
      <c r="H214" s="1775" t="s">
        <v>30</v>
      </c>
      <c r="I214" s="1775" t="s">
        <v>899</v>
      </c>
    </row>
    <row r="215" spans="1:9" ht="11.25" customHeight="1">
      <c r="A215" s="1775" t="s">
        <v>2293</v>
      </c>
      <c r="B215" s="1775" t="s">
        <v>16</v>
      </c>
      <c r="C215" s="1775" t="s">
        <v>2751</v>
      </c>
      <c r="D215" s="1775" t="s">
        <v>2752</v>
      </c>
      <c r="E215" s="1775" t="s">
        <v>2753</v>
      </c>
      <c r="F215" s="1775" t="s">
        <v>2754</v>
      </c>
      <c r="G215" s="1775" t="s">
        <v>30</v>
      </c>
      <c r="H215" s="1775" t="s">
        <v>30</v>
      </c>
      <c r="I215" s="1775" t="s">
        <v>899</v>
      </c>
    </row>
    <row r="216" spans="1:9" ht="11.25" customHeight="1">
      <c r="A216" s="1775" t="s">
        <v>2293</v>
      </c>
      <c r="B216" s="1775" t="s">
        <v>16</v>
      </c>
      <c r="C216" s="1775" t="s">
        <v>2611</v>
      </c>
      <c r="D216" s="1775" t="s">
        <v>2612</v>
      </c>
      <c r="E216" s="1775" t="s">
        <v>2613</v>
      </c>
      <c r="F216" s="1775" t="s">
        <v>2311</v>
      </c>
      <c r="G216" s="1775" t="s">
        <v>2614</v>
      </c>
      <c r="H216" s="1775" t="s">
        <v>30</v>
      </c>
      <c r="I216" s="1775" t="s">
        <v>899</v>
      </c>
    </row>
    <row r="217" spans="1:9" ht="11.25" customHeight="1">
      <c r="A217" s="1775" t="s">
        <v>2293</v>
      </c>
      <c r="B217" s="1775" t="s">
        <v>16</v>
      </c>
      <c r="C217" s="1775" t="s">
        <v>2625</v>
      </c>
      <c r="D217" s="1775" t="s">
        <v>2626</v>
      </c>
      <c r="E217" s="1775" t="s">
        <v>2627</v>
      </c>
      <c r="F217" s="1775" t="s">
        <v>2365</v>
      </c>
      <c r="G217" s="1775" t="s">
        <v>30</v>
      </c>
      <c r="H217" s="1775" t="s">
        <v>30</v>
      </c>
      <c r="I217" s="1775" t="s">
        <v>899</v>
      </c>
    </row>
    <row r="218" spans="1:9" ht="11.25" customHeight="1">
      <c r="A218" s="1775" t="s">
        <v>2293</v>
      </c>
      <c r="B218" s="1775" t="s">
        <v>16</v>
      </c>
      <c r="C218" s="1775" t="s">
        <v>2637</v>
      </c>
      <c r="D218" s="1775" t="s">
        <v>2638</v>
      </c>
      <c r="E218" s="1775" t="s">
        <v>2639</v>
      </c>
      <c r="F218" s="1775" t="s">
        <v>56</v>
      </c>
      <c r="G218" s="1775" t="s">
        <v>30</v>
      </c>
      <c r="H218" s="1775" t="s">
        <v>30</v>
      </c>
      <c r="I218" s="1775" t="s">
        <v>899</v>
      </c>
    </row>
    <row r="219" spans="1:9" ht="11.25" customHeight="1">
      <c r="A219" s="1775" t="s">
        <v>2293</v>
      </c>
      <c r="B219" s="1775" t="s">
        <v>16</v>
      </c>
      <c r="C219" s="1775" t="s">
        <v>2755</v>
      </c>
      <c r="D219" s="1775" t="s">
        <v>2756</v>
      </c>
      <c r="E219" s="1775" t="s">
        <v>2753</v>
      </c>
      <c r="F219" s="1775" t="s">
        <v>56</v>
      </c>
      <c r="G219" s="1775" t="s">
        <v>2757</v>
      </c>
      <c r="H219" s="1775" t="s">
        <v>30</v>
      </c>
      <c r="I219" s="1775" t="s">
        <v>899</v>
      </c>
    </row>
    <row r="220" spans="1:9" ht="11.25" customHeight="1">
      <c r="A220" s="1775" t="s">
        <v>2293</v>
      </c>
      <c r="B220" s="1775" t="s">
        <v>16</v>
      </c>
      <c r="C220" s="1775" t="s">
        <v>2653</v>
      </c>
      <c r="D220" s="1775" t="s">
        <v>2654</v>
      </c>
      <c r="E220" s="1775" t="s">
        <v>2655</v>
      </c>
      <c r="F220" s="1775" t="s">
        <v>2311</v>
      </c>
      <c r="G220" s="1775" t="s">
        <v>30</v>
      </c>
      <c r="H220" s="1775" t="s">
        <v>30</v>
      </c>
      <c r="I220" s="1775" t="s">
        <v>899</v>
      </c>
    </row>
    <row r="221" spans="1:9" ht="11.25" customHeight="1">
      <c r="A221" s="1775" t="s">
        <v>2293</v>
      </c>
      <c r="B221" s="1775" t="s">
        <v>16</v>
      </c>
      <c r="C221" s="1775" t="s">
        <v>2758</v>
      </c>
      <c r="D221" s="1775" t="s">
        <v>2759</v>
      </c>
      <c r="E221" s="1775" t="s">
        <v>2760</v>
      </c>
      <c r="F221" s="1775" t="s">
        <v>2365</v>
      </c>
      <c r="G221" s="1775" t="s">
        <v>2761</v>
      </c>
      <c r="H221" s="1775" t="s">
        <v>30</v>
      </c>
      <c r="I221" s="1775" t="s">
        <v>899</v>
      </c>
    </row>
    <row r="222" spans="1:9" ht="11.25" customHeight="1">
      <c r="A222" s="1775" t="s">
        <v>2293</v>
      </c>
      <c r="B222" s="1775" t="s">
        <v>16</v>
      </c>
      <c r="C222" s="1775" t="s">
        <v>2656</v>
      </c>
      <c r="D222" s="1775" t="s">
        <v>2657</v>
      </c>
      <c r="E222" s="1775" t="s">
        <v>2658</v>
      </c>
      <c r="F222" s="1775" t="s">
        <v>2659</v>
      </c>
      <c r="G222" s="1775" t="s">
        <v>2660</v>
      </c>
      <c r="H222" s="1775" t="s">
        <v>30</v>
      </c>
      <c r="I222" s="1775" t="s">
        <v>899</v>
      </c>
    </row>
    <row r="223" spans="1:9" ht="11.25" customHeight="1">
      <c r="A223" s="1775" t="s">
        <v>2293</v>
      </c>
      <c r="B223" s="1775" t="s">
        <v>16</v>
      </c>
      <c r="C223" s="1775" t="s">
        <v>2661</v>
      </c>
      <c r="D223" s="1775" t="s">
        <v>2662</v>
      </c>
      <c r="E223" s="1775" t="s">
        <v>2663</v>
      </c>
      <c r="F223" s="1775" t="s">
        <v>2365</v>
      </c>
      <c r="G223" s="1775" t="s">
        <v>30</v>
      </c>
      <c r="H223" s="1775" t="s">
        <v>30</v>
      </c>
      <c r="I223" s="1775" t="s">
        <v>899</v>
      </c>
    </row>
    <row r="224" spans="1:9" ht="11.25" customHeight="1">
      <c r="A224" s="1775" t="s">
        <v>2293</v>
      </c>
      <c r="B224" s="1775" t="s">
        <v>16</v>
      </c>
      <c r="C224" s="1775" t="s">
        <v>2667</v>
      </c>
      <c r="D224" s="1775" t="s">
        <v>2668</v>
      </c>
      <c r="E224" s="1775" t="s">
        <v>2669</v>
      </c>
      <c r="F224" s="1775" t="s">
        <v>2365</v>
      </c>
      <c r="G224" s="1775" t="s">
        <v>30</v>
      </c>
      <c r="H224" s="1775" t="s">
        <v>30</v>
      </c>
      <c r="I224" s="1775" t="s">
        <v>899</v>
      </c>
    </row>
    <row r="225" spans="1:9" ht="11.25" customHeight="1">
      <c r="A225" s="1775" t="s">
        <v>2293</v>
      </c>
      <c r="B225" s="1775" t="s">
        <v>16</v>
      </c>
      <c r="C225" s="1775" t="s">
        <v>2670</v>
      </c>
      <c r="D225" s="1775" t="s">
        <v>2671</v>
      </c>
      <c r="E225" s="1775" t="s">
        <v>2672</v>
      </c>
      <c r="F225" s="1775" t="s">
        <v>2369</v>
      </c>
      <c r="G225" s="1775" t="s">
        <v>30</v>
      </c>
      <c r="H225" s="1775" t="s">
        <v>30</v>
      </c>
      <c r="I225" s="1775" t="s">
        <v>899</v>
      </c>
    </row>
    <row r="226" spans="1:9" ht="11.25" customHeight="1">
      <c r="A226" s="1775" t="s">
        <v>2293</v>
      </c>
      <c r="B226" s="1775" t="s">
        <v>16</v>
      </c>
      <c r="C226" s="1775" t="s">
        <v>2762</v>
      </c>
      <c r="D226" s="1775" t="s">
        <v>2763</v>
      </c>
      <c r="E226" s="1775" t="s">
        <v>2764</v>
      </c>
      <c r="F226" s="1775" t="s">
        <v>56</v>
      </c>
      <c r="G226" s="1775" t="s">
        <v>2765</v>
      </c>
      <c r="H226" s="1775" t="s">
        <v>30</v>
      </c>
      <c r="I226" s="1775" t="s">
        <v>899</v>
      </c>
    </row>
    <row r="227" spans="1:9" ht="11.25" customHeight="1">
      <c r="A227" s="1775" t="s">
        <v>2293</v>
      </c>
      <c r="B227" s="1775" t="s">
        <v>16</v>
      </c>
      <c r="C227" s="1775" t="s">
        <v>2766</v>
      </c>
      <c r="D227" s="1775" t="s">
        <v>2678</v>
      </c>
      <c r="E227" s="1775" t="s">
        <v>2679</v>
      </c>
      <c r="F227" s="1775" t="s">
        <v>2767</v>
      </c>
      <c r="G227" s="1775" t="s">
        <v>30</v>
      </c>
      <c r="H227" s="1775" t="s">
        <v>30</v>
      </c>
      <c r="I227" s="1775" t="s">
        <v>899</v>
      </c>
    </row>
    <row r="228" spans="1:9" ht="11.25" customHeight="1">
      <c r="A228" s="1775" t="s">
        <v>2293</v>
      </c>
      <c r="B228" s="1775" t="s">
        <v>16</v>
      </c>
      <c r="C228" s="1775" t="s">
        <v>2677</v>
      </c>
      <c r="D228" s="1775" t="s">
        <v>2678</v>
      </c>
      <c r="E228" s="1775" t="s">
        <v>2679</v>
      </c>
      <c r="F228" s="1775" t="s">
        <v>2680</v>
      </c>
      <c r="G228" s="1775" t="s">
        <v>2681</v>
      </c>
      <c r="H228" s="1775" t="s">
        <v>30</v>
      </c>
      <c r="I228" s="1775" t="s">
        <v>899</v>
      </c>
    </row>
    <row r="229" spans="1:9" ht="11.25" customHeight="1">
      <c r="A229" s="1775" t="s">
        <v>2293</v>
      </c>
      <c r="B229" s="1775" t="s">
        <v>16</v>
      </c>
      <c r="C229" s="1775" t="s">
        <v>2690</v>
      </c>
      <c r="D229" s="1775" t="s">
        <v>2691</v>
      </c>
      <c r="E229" s="1775" t="s">
        <v>2692</v>
      </c>
      <c r="F229" s="1775" t="s">
        <v>56</v>
      </c>
      <c r="G229" s="1775" t="s">
        <v>30</v>
      </c>
      <c r="H229" s="1775" t="s">
        <v>30</v>
      </c>
      <c r="I229" s="1775" t="s">
        <v>899</v>
      </c>
    </row>
    <row r="230" spans="1:9" ht="11.25" customHeight="1">
      <c r="A230" s="1775" t="s">
        <v>2293</v>
      </c>
      <c r="B230" s="1775" t="s">
        <v>16</v>
      </c>
      <c r="C230" s="1775" t="s">
        <v>2693</v>
      </c>
      <c r="D230" s="1775" t="s">
        <v>2694</v>
      </c>
      <c r="E230" s="1775" t="s">
        <v>2695</v>
      </c>
      <c r="F230" s="1775" t="s">
        <v>2696</v>
      </c>
      <c r="G230" s="1775" t="s">
        <v>30</v>
      </c>
      <c r="H230" s="1775" t="s">
        <v>30</v>
      </c>
      <c r="I230" s="1775" t="s">
        <v>899</v>
      </c>
    </row>
    <row r="231" spans="1:9" ht="11.25" customHeight="1">
      <c r="A231" s="1775" t="s">
        <v>2293</v>
      </c>
      <c r="B231" s="1775" t="s">
        <v>16</v>
      </c>
      <c r="C231" s="1775" t="s">
        <v>2697</v>
      </c>
      <c r="D231" s="1775" t="s">
        <v>2698</v>
      </c>
      <c r="E231" s="1775" t="s">
        <v>2699</v>
      </c>
      <c r="F231" s="1775" t="s">
        <v>2365</v>
      </c>
      <c r="G231" s="1775" t="s">
        <v>30</v>
      </c>
      <c r="H231" s="1775" t="s">
        <v>30</v>
      </c>
      <c r="I231" s="1775" t="s">
        <v>899</v>
      </c>
    </row>
    <row r="232" spans="1:9" ht="11.25" customHeight="1">
      <c r="A232" s="1775" t="s">
        <v>2293</v>
      </c>
      <c r="B232" s="1775" t="s">
        <v>16</v>
      </c>
      <c r="C232" s="1775" t="s">
        <v>2701</v>
      </c>
      <c r="D232" s="1775" t="s">
        <v>2702</v>
      </c>
      <c r="E232" s="1775" t="s">
        <v>2703</v>
      </c>
      <c r="F232" s="1775" t="s">
        <v>2704</v>
      </c>
      <c r="G232" s="1775" t="s">
        <v>30</v>
      </c>
      <c r="H232" s="1775" t="s">
        <v>30</v>
      </c>
      <c r="I232" s="1775" t="s">
        <v>899</v>
      </c>
    </row>
    <row r="233" spans="1:9" ht="11.25" customHeight="1">
      <c r="A233" s="1775" t="s">
        <v>2293</v>
      </c>
      <c r="B233" s="1775" t="s">
        <v>16</v>
      </c>
      <c r="C233" s="1775" t="s">
        <v>2709</v>
      </c>
      <c r="D233" s="1775" t="s">
        <v>2710</v>
      </c>
      <c r="E233" s="1775" t="s">
        <v>2703</v>
      </c>
      <c r="F233" s="1775" t="s">
        <v>2708</v>
      </c>
      <c r="G233" s="1775" t="s">
        <v>30</v>
      </c>
      <c r="H233" s="1775" t="s">
        <v>30</v>
      </c>
      <c r="I233" s="1775" t="s">
        <v>899</v>
      </c>
    </row>
    <row r="234" spans="1:9" ht="11.25" customHeight="1">
      <c r="A234" s="1775" t="s">
        <v>2293</v>
      </c>
      <c r="B234" s="1775" t="s">
        <v>16</v>
      </c>
      <c r="C234" s="1775" t="s">
        <v>2711</v>
      </c>
      <c r="D234" s="1775" t="s">
        <v>2712</v>
      </c>
      <c r="E234" s="1775" t="s">
        <v>2713</v>
      </c>
      <c r="F234" s="1775" t="s">
        <v>56</v>
      </c>
      <c r="G234" s="1775" t="s">
        <v>30</v>
      </c>
      <c r="H234" s="1775" t="s">
        <v>30</v>
      </c>
      <c r="I234" s="1775" t="s">
        <v>899</v>
      </c>
    </row>
    <row r="235" spans="1:9" ht="11.25" customHeight="1">
      <c r="A235" s="1775" t="s">
        <v>2293</v>
      </c>
      <c r="B235" s="1775" t="s">
        <v>16</v>
      </c>
      <c r="C235" s="1775" t="s">
        <v>2714</v>
      </c>
      <c r="D235" s="1775" t="s">
        <v>2715</v>
      </c>
      <c r="E235" s="1775" t="s">
        <v>2716</v>
      </c>
      <c r="F235" s="1775" t="s">
        <v>2717</v>
      </c>
      <c r="G235" s="1775" t="s">
        <v>30</v>
      </c>
      <c r="H235" s="1775" t="s">
        <v>30</v>
      </c>
      <c r="I235" s="1775" t="s">
        <v>899</v>
      </c>
    </row>
    <row r="236" spans="1:9" ht="11.25" customHeight="1">
      <c r="A236" s="1775" t="s">
        <v>2293</v>
      </c>
      <c r="B236" s="1775" t="s">
        <v>16</v>
      </c>
      <c r="C236" s="1775" t="s">
        <v>2721</v>
      </c>
      <c r="D236" s="1775" t="s">
        <v>2722</v>
      </c>
      <c r="E236" s="1775" t="s">
        <v>2716</v>
      </c>
      <c r="F236" s="1775" t="s">
        <v>2723</v>
      </c>
      <c r="G236" s="1775" t="s">
        <v>30</v>
      </c>
      <c r="H236" s="1775" t="s">
        <v>30</v>
      </c>
      <c r="I236" s="1775" t="s">
        <v>899</v>
      </c>
    </row>
    <row r="237" spans="1:9" ht="11.25" customHeight="1">
      <c r="A237" s="1775" t="s">
        <v>2293</v>
      </c>
      <c r="B237" s="1775" t="s">
        <v>16</v>
      </c>
      <c r="C237" s="1775" t="s">
        <v>2724</v>
      </c>
      <c r="D237" s="1775" t="s">
        <v>2725</v>
      </c>
      <c r="E237" s="1775" t="s">
        <v>2726</v>
      </c>
      <c r="F237" s="1775" t="s">
        <v>2377</v>
      </c>
      <c r="G237" s="1775" t="s">
        <v>30</v>
      </c>
      <c r="H237" s="1775" t="s">
        <v>30</v>
      </c>
      <c r="I237" s="1775" t="s">
        <v>899</v>
      </c>
    </row>
    <row r="238" spans="1:9" ht="11.25" customHeight="1">
      <c r="A238" s="1775" t="s">
        <v>2293</v>
      </c>
      <c r="B238" s="1775" t="s">
        <v>16</v>
      </c>
      <c r="C238" s="1775" t="s">
        <v>2300</v>
      </c>
      <c r="D238" s="1775" t="s">
        <v>2301</v>
      </c>
      <c r="E238" s="1775" t="s">
        <v>2302</v>
      </c>
      <c r="F238" s="1775" t="s">
        <v>56</v>
      </c>
      <c r="G238" s="1775" t="s">
        <v>30</v>
      </c>
      <c r="H238" s="1775" t="s">
        <v>30</v>
      </c>
      <c r="I238" s="1775" t="s">
        <v>952</v>
      </c>
    </row>
    <row r="239" spans="1:9" ht="11.25" customHeight="1">
      <c r="A239" s="1775" t="s">
        <v>2293</v>
      </c>
      <c r="B239" s="1775" t="s">
        <v>16</v>
      </c>
      <c r="C239" s="1775" t="s">
        <v>2731</v>
      </c>
      <c r="D239" s="1775" t="s">
        <v>2732</v>
      </c>
      <c r="E239" s="1775" t="s">
        <v>2733</v>
      </c>
      <c r="F239" s="1775" t="s">
        <v>2365</v>
      </c>
      <c r="G239" s="1775" t="s">
        <v>30</v>
      </c>
      <c r="H239" s="1775" t="s">
        <v>30</v>
      </c>
      <c r="I239" s="1775" t="s">
        <v>952</v>
      </c>
    </row>
    <row r="240" spans="1:9" ht="11.25" customHeight="1">
      <c r="A240" s="1775" t="s">
        <v>2293</v>
      </c>
      <c r="B240" s="1775" t="s">
        <v>16</v>
      </c>
      <c r="C240" s="1775" t="s">
        <v>2308</v>
      </c>
      <c r="D240" s="1775" t="s">
        <v>2309</v>
      </c>
      <c r="E240" s="1775" t="s">
        <v>2310</v>
      </c>
      <c r="F240" s="1775" t="s">
        <v>2311</v>
      </c>
      <c r="G240" s="1775" t="s">
        <v>30</v>
      </c>
      <c r="H240" s="1775" t="s">
        <v>30</v>
      </c>
      <c r="I240" s="1775" t="s">
        <v>952</v>
      </c>
    </row>
    <row r="241" spans="1:9" ht="11.25" customHeight="1">
      <c r="A241" s="1775" t="s">
        <v>2293</v>
      </c>
      <c r="B241" s="1775" t="s">
        <v>16</v>
      </c>
      <c r="C241" s="1775" t="s">
        <v>2312</v>
      </c>
      <c r="D241" s="1775" t="s">
        <v>2313</v>
      </c>
      <c r="E241" s="1775" t="s">
        <v>2314</v>
      </c>
      <c r="F241" s="1775" t="s">
        <v>2311</v>
      </c>
      <c r="G241" s="1775" t="s">
        <v>30</v>
      </c>
      <c r="H241" s="1775" t="s">
        <v>30</v>
      </c>
      <c r="I241" s="1775" t="s">
        <v>952</v>
      </c>
    </row>
    <row r="242" spans="1:9" ht="11.25" customHeight="1">
      <c r="A242" s="1775" t="s">
        <v>2293</v>
      </c>
      <c r="B242" s="1775" t="s">
        <v>16</v>
      </c>
      <c r="C242" s="1775" t="s">
        <v>2319</v>
      </c>
      <c r="D242" s="1775" t="s">
        <v>2320</v>
      </c>
      <c r="E242" s="1775" t="s">
        <v>2321</v>
      </c>
      <c r="F242" s="1775" t="s">
        <v>56</v>
      </c>
      <c r="G242" s="1775" t="s">
        <v>30</v>
      </c>
      <c r="H242" s="1775" t="s">
        <v>30</v>
      </c>
      <c r="I242" s="1775" t="s">
        <v>952</v>
      </c>
    </row>
    <row r="243" spans="1:9" ht="11.25" customHeight="1">
      <c r="A243" s="1775" t="s">
        <v>2293</v>
      </c>
      <c r="B243" s="1775" t="s">
        <v>16</v>
      </c>
      <c r="C243" s="1775" t="s">
        <v>2734</v>
      </c>
      <c r="D243" s="1775" t="s">
        <v>2735</v>
      </c>
      <c r="E243" s="1775" t="s">
        <v>2736</v>
      </c>
      <c r="F243" s="1775" t="s">
        <v>56</v>
      </c>
      <c r="G243" s="1775" t="s">
        <v>30</v>
      </c>
      <c r="H243" s="1775" t="s">
        <v>30</v>
      </c>
      <c r="I243" s="1775" t="s">
        <v>952</v>
      </c>
    </row>
    <row r="244" spans="1:9" ht="11.25" customHeight="1">
      <c r="A244" s="1775" t="s">
        <v>2293</v>
      </c>
      <c r="B244" s="1775" t="s">
        <v>16</v>
      </c>
      <c r="C244" s="1775" t="s">
        <v>2328</v>
      </c>
      <c r="D244" s="1775" t="s">
        <v>2329</v>
      </c>
      <c r="E244" s="1775" t="s">
        <v>2330</v>
      </c>
      <c r="F244" s="1775" t="s">
        <v>56</v>
      </c>
      <c r="G244" s="1775" t="s">
        <v>30</v>
      </c>
      <c r="H244" s="1775" t="s">
        <v>30</v>
      </c>
      <c r="I244" s="1775" t="s">
        <v>952</v>
      </c>
    </row>
    <row r="245" spans="1:9" ht="11.25" customHeight="1">
      <c r="A245" s="1775" t="s">
        <v>2293</v>
      </c>
      <c r="B245" s="1775" t="s">
        <v>16</v>
      </c>
      <c r="C245" s="1775" t="s">
        <v>2338</v>
      </c>
      <c r="D245" s="1775" t="s">
        <v>2339</v>
      </c>
      <c r="E245" s="1775" t="s">
        <v>2340</v>
      </c>
      <c r="F245" s="1775" t="s">
        <v>56</v>
      </c>
      <c r="G245" s="1775" t="s">
        <v>30</v>
      </c>
      <c r="H245" s="1775" t="s">
        <v>30</v>
      </c>
      <c r="I245" s="1775" t="s">
        <v>952</v>
      </c>
    </row>
    <row r="246" spans="1:9" ht="11.25" customHeight="1">
      <c r="A246" s="1775" t="s">
        <v>2293</v>
      </c>
      <c r="B246" s="1775" t="s">
        <v>16</v>
      </c>
      <c r="C246" s="1775" t="s">
        <v>2354</v>
      </c>
      <c r="D246" s="1775" t="s">
        <v>2355</v>
      </c>
      <c r="E246" s="1775" t="s">
        <v>2356</v>
      </c>
      <c r="F246" s="1775" t="s">
        <v>2311</v>
      </c>
      <c r="G246" s="1775" t="s">
        <v>2357</v>
      </c>
      <c r="H246" s="1775" t="s">
        <v>30</v>
      </c>
      <c r="I246" s="1775" t="s">
        <v>952</v>
      </c>
    </row>
    <row r="247" spans="1:9" ht="11.25" customHeight="1">
      <c r="A247" s="1775" t="s">
        <v>2293</v>
      </c>
      <c r="B247" s="1775" t="s">
        <v>16</v>
      </c>
      <c r="C247" s="1775" t="s">
        <v>2370</v>
      </c>
      <c r="D247" s="1775" t="s">
        <v>2371</v>
      </c>
      <c r="E247" s="1775" t="s">
        <v>2372</v>
      </c>
      <c r="F247" s="1775" t="s">
        <v>56</v>
      </c>
      <c r="G247" s="1775" t="s">
        <v>2373</v>
      </c>
      <c r="H247" s="1775" t="s">
        <v>30</v>
      </c>
      <c r="I247" s="1775" t="s">
        <v>952</v>
      </c>
    </row>
    <row r="248" spans="1:9" ht="11.25" customHeight="1">
      <c r="A248" s="1775" t="s">
        <v>2293</v>
      </c>
      <c r="B248" s="1775" t="s">
        <v>16</v>
      </c>
      <c r="C248" s="1775" t="s">
        <v>30</v>
      </c>
      <c r="D248" s="1775" t="s">
        <v>2381</v>
      </c>
      <c r="E248" s="1775" t="s">
        <v>2382</v>
      </c>
      <c r="F248" s="1775" t="s">
        <v>56</v>
      </c>
      <c r="G248" s="1775" t="s">
        <v>30</v>
      </c>
      <c r="H248" s="1775" t="s">
        <v>30</v>
      </c>
      <c r="I248" s="1775" t="s">
        <v>952</v>
      </c>
    </row>
    <row r="249" spans="1:9" ht="11.25" customHeight="1">
      <c r="A249" s="1775" t="s">
        <v>2293</v>
      </c>
      <c r="B249" s="1775" t="s">
        <v>16</v>
      </c>
      <c r="C249" s="1775" t="s">
        <v>2383</v>
      </c>
      <c r="D249" s="1775" t="s">
        <v>2384</v>
      </c>
      <c r="E249" s="1775" t="s">
        <v>2321</v>
      </c>
      <c r="F249" s="1775" t="s">
        <v>2352</v>
      </c>
      <c r="G249" s="1775" t="s">
        <v>30</v>
      </c>
      <c r="H249" s="1775" t="s">
        <v>30</v>
      </c>
      <c r="I249" s="1775" t="s">
        <v>952</v>
      </c>
    </row>
    <row r="250" spans="1:9" ht="11.25" customHeight="1">
      <c r="A250" s="1775" t="s">
        <v>2293</v>
      </c>
      <c r="B250" s="1775" t="s">
        <v>16</v>
      </c>
      <c r="C250" s="1775" t="s">
        <v>2768</v>
      </c>
      <c r="D250" s="1775" t="s">
        <v>2769</v>
      </c>
      <c r="E250" s="1775" t="s">
        <v>2770</v>
      </c>
      <c r="F250" s="1775" t="s">
        <v>2311</v>
      </c>
      <c r="G250" s="1775" t="s">
        <v>30</v>
      </c>
      <c r="H250" s="1775" t="s">
        <v>30</v>
      </c>
      <c r="I250" s="1775" t="s">
        <v>952</v>
      </c>
    </row>
    <row r="251" spans="1:9" ht="11.25" customHeight="1">
      <c r="A251" s="1775" t="s">
        <v>2293</v>
      </c>
      <c r="B251" s="1775" t="s">
        <v>16</v>
      </c>
      <c r="C251" s="1775" t="s">
        <v>2399</v>
      </c>
      <c r="D251" s="1775" t="s">
        <v>2400</v>
      </c>
      <c r="E251" s="1775" t="s">
        <v>2401</v>
      </c>
      <c r="F251" s="1775" t="s">
        <v>2311</v>
      </c>
      <c r="G251" s="1775" t="s">
        <v>30</v>
      </c>
      <c r="H251" s="1775" t="s">
        <v>30</v>
      </c>
      <c r="I251" s="1775" t="s">
        <v>952</v>
      </c>
    </row>
    <row r="252" spans="1:9" ht="11.25" customHeight="1">
      <c r="A252" s="1775" t="s">
        <v>2293</v>
      </c>
      <c r="B252" s="1775" t="s">
        <v>16</v>
      </c>
      <c r="C252" s="1775" t="s">
        <v>2740</v>
      </c>
      <c r="D252" s="1775" t="s">
        <v>2741</v>
      </c>
      <c r="E252" s="1775" t="s">
        <v>2742</v>
      </c>
      <c r="F252" s="1775" t="s">
        <v>2369</v>
      </c>
      <c r="G252" s="1775" t="s">
        <v>30</v>
      </c>
      <c r="H252" s="1775" t="s">
        <v>30</v>
      </c>
      <c r="I252" s="1775" t="s">
        <v>952</v>
      </c>
    </row>
    <row r="253" spans="1:9" ht="11.25" customHeight="1">
      <c r="A253" s="1775" t="s">
        <v>2293</v>
      </c>
      <c r="B253" s="1775" t="s">
        <v>16</v>
      </c>
      <c r="C253" s="1775" t="s">
        <v>2418</v>
      </c>
      <c r="D253" s="1775" t="s">
        <v>2419</v>
      </c>
      <c r="E253" s="1775" t="s">
        <v>2420</v>
      </c>
      <c r="F253" s="1775" t="s">
        <v>2311</v>
      </c>
      <c r="G253" s="1775" t="s">
        <v>30</v>
      </c>
      <c r="H253" s="1775" t="s">
        <v>30</v>
      </c>
      <c r="I253" s="1775" t="s">
        <v>952</v>
      </c>
    </row>
    <row r="254" spans="1:9" ht="11.25" customHeight="1">
      <c r="A254" s="1775" t="s">
        <v>2293</v>
      </c>
      <c r="B254" s="1775" t="s">
        <v>16</v>
      </c>
      <c r="C254" s="1775" t="s">
        <v>2421</v>
      </c>
      <c r="D254" s="1775" t="s">
        <v>2422</v>
      </c>
      <c r="E254" s="1775" t="s">
        <v>2423</v>
      </c>
      <c r="F254" s="1775" t="s">
        <v>2311</v>
      </c>
      <c r="G254" s="1775" t="s">
        <v>30</v>
      </c>
      <c r="H254" s="1775" t="s">
        <v>30</v>
      </c>
      <c r="I254" s="1775" t="s">
        <v>952</v>
      </c>
    </row>
    <row r="255" spans="1:9" ht="11.25" customHeight="1">
      <c r="A255" s="1775" t="s">
        <v>2293</v>
      </c>
      <c r="B255" s="1775" t="s">
        <v>16</v>
      </c>
      <c r="C255" s="1775" t="s">
        <v>2431</v>
      </c>
      <c r="D255" s="1775" t="s">
        <v>2432</v>
      </c>
      <c r="E255" s="1775" t="s">
        <v>2433</v>
      </c>
      <c r="F255" s="1775" t="s">
        <v>2405</v>
      </c>
      <c r="G255" s="1775" t="s">
        <v>30</v>
      </c>
      <c r="H255" s="1775" t="s">
        <v>30</v>
      </c>
      <c r="I255" s="1775" t="s">
        <v>952</v>
      </c>
    </row>
    <row r="256" spans="1:9" ht="11.25" customHeight="1">
      <c r="A256" s="1775" t="s">
        <v>2293</v>
      </c>
      <c r="B256" s="1775" t="s">
        <v>16</v>
      </c>
      <c r="C256" s="1775" t="s">
        <v>2444</v>
      </c>
      <c r="D256" s="1775" t="s">
        <v>2445</v>
      </c>
      <c r="E256" s="1775" t="s">
        <v>2446</v>
      </c>
      <c r="F256" s="1775" t="s">
        <v>2369</v>
      </c>
      <c r="G256" s="1775" t="s">
        <v>30</v>
      </c>
      <c r="H256" s="1775" t="s">
        <v>30</v>
      </c>
      <c r="I256" s="1775" t="s">
        <v>952</v>
      </c>
    </row>
    <row r="257" spans="1:9" ht="11.25" customHeight="1">
      <c r="A257" s="1775" t="s">
        <v>2293</v>
      </c>
      <c r="B257" s="1775" t="s">
        <v>16</v>
      </c>
      <c r="C257" s="1775" t="s">
        <v>2447</v>
      </c>
      <c r="D257" s="1775" t="s">
        <v>2448</v>
      </c>
      <c r="E257" s="1775" t="s">
        <v>2449</v>
      </c>
      <c r="F257" s="1775" t="s">
        <v>2405</v>
      </c>
      <c r="G257" s="1775" t="s">
        <v>30</v>
      </c>
      <c r="H257" s="1775" t="s">
        <v>30</v>
      </c>
      <c r="I257" s="1775" t="s">
        <v>952</v>
      </c>
    </row>
    <row r="258" spans="1:9" ht="11.25" customHeight="1">
      <c r="A258" s="1775" t="s">
        <v>2293</v>
      </c>
      <c r="B258" s="1775" t="s">
        <v>16</v>
      </c>
      <c r="C258" s="1775" t="s">
        <v>2450</v>
      </c>
      <c r="D258" s="1775" t="s">
        <v>2451</v>
      </c>
      <c r="E258" s="1775" t="s">
        <v>2452</v>
      </c>
      <c r="F258" s="1775" t="s">
        <v>2311</v>
      </c>
      <c r="G258" s="1775" t="s">
        <v>30</v>
      </c>
      <c r="H258" s="1775" t="s">
        <v>30</v>
      </c>
      <c r="I258" s="1775" t="s">
        <v>952</v>
      </c>
    </row>
    <row r="259" spans="1:9" ht="11.25" customHeight="1">
      <c r="A259" s="1775" t="s">
        <v>2293</v>
      </c>
      <c r="B259" s="1775" t="s">
        <v>16</v>
      </c>
      <c r="C259" s="1775" t="s">
        <v>2456</v>
      </c>
      <c r="D259" s="1775" t="s">
        <v>2457</v>
      </c>
      <c r="E259" s="1775" t="s">
        <v>2458</v>
      </c>
      <c r="F259" s="1775" t="s">
        <v>2405</v>
      </c>
      <c r="G259" s="1775" t="s">
        <v>30</v>
      </c>
      <c r="H259" s="1775" t="s">
        <v>30</v>
      </c>
      <c r="I259" s="1775" t="s">
        <v>952</v>
      </c>
    </row>
    <row r="260" spans="1:9" ht="11.25" customHeight="1">
      <c r="A260" s="1775" t="s">
        <v>2293</v>
      </c>
      <c r="B260" s="1775" t="s">
        <v>16</v>
      </c>
      <c r="C260" s="1775" t="s">
        <v>2459</v>
      </c>
      <c r="D260" s="1775" t="s">
        <v>2460</v>
      </c>
      <c r="E260" s="1775" t="s">
        <v>2461</v>
      </c>
      <c r="F260" s="1775" t="s">
        <v>2462</v>
      </c>
      <c r="G260" s="1775" t="s">
        <v>30</v>
      </c>
      <c r="H260" s="1775" t="s">
        <v>30</v>
      </c>
      <c r="I260" s="1775" t="s">
        <v>952</v>
      </c>
    </row>
    <row r="261" spans="1:9" ht="11.25" customHeight="1">
      <c r="A261" s="1775" t="s">
        <v>2293</v>
      </c>
      <c r="B261" s="1775" t="s">
        <v>16</v>
      </c>
      <c r="C261" s="1775" t="s">
        <v>2771</v>
      </c>
      <c r="D261" s="1775" t="s">
        <v>2772</v>
      </c>
      <c r="E261" s="1775" t="s">
        <v>2773</v>
      </c>
      <c r="F261" s="1775" t="s">
        <v>56</v>
      </c>
      <c r="G261" s="1775" t="s">
        <v>30</v>
      </c>
      <c r="H261" s="1775" t="s">
        <v>30</v>
      </c>
      <c r="I261" s="1775" t="s">
        <v>952</v>
      </c>
    </row>
    <row r="262" spans="1:9" ht="11.25" customHeight="1">
      <c r="A262" s="1775" t="s">
        <v>2293</v>
      </c>
      <c r="B262" s="1775" t="s">
        <v>16</v>
      </c>
      <c r="C262" s="1775" t="s">
        <v>2743</v>
      </c>
      <c r="D262" s="1775" t="s">
        <v>2744</v>
      </c>
      <c r="E262" s="1775" t="s">
        <v>2745</v>
      </c>
      <c r="F262" s="1775" t="s">
        <v>2311</v>
      </c>
      <c r="G262" s="1775" t="s">
        <v>2746</v>
      </c>
      <c r="H262" s="1775" t="s">
        <v>30</v>
      </c>
      <c r="I262" s="1775" t="s">
        <v>952</v>
      </c>
    </row>
    <row r="263" spans="1:9" ht="11.25" customHeight="1">
      <c r="A263" s="1775" t="s">
        <v>2293</v>
      </c>
      <c r="B263" s="1775" t="s">
        <v>16</v>
      </c>
      <c r="C263" s="1775" t="s">
        <v>2747</v>
      </c>
      <c r="D263" s="1775" t="s">
        <v>2748</v>
      </c>
      <c r="E263" s="1775" t="s">
        <v>2749</v>
      </c>
      <c r="F263" s="1775" t="s">
        <v>2377</v>
      </c>
      <c r="G263" s="1775" t="s">
        <v>2750</v>
      </c>
      <c r="H263" s="1775" t="s">
        <v>30</v>
      </c>
      <c r="I263" s="1775" t="s">
        <v>952</v>
      </c>
    </row>
    <row r="264" spans="1:9" ht="11.25" customHeight="1">
      <c r="A264" s="1775" t="s">
        <v>2293</v>
      </c>
      <c r="B264" s="1775" t="s">
        <v>16</v>
      </c>
      <c r="C264" s="1775" t="s">
        <v>2504</v>
      </c>
      <c r="D264" s="1775" t="s">
        <v>2505</v>
      </c>
      <c r="E264" s="1775" t="s">
        <v>2506</v>
      </c>
      <c r="F264" s="1775" t="s">
        <v>56</v>
      </c>
      <c r="G264" s="1775" t="s">
        <v>2507</v>
      </c>
      <c r="H264" s="1775" t="s">
        <v>30</v>
      </c>
      <c r="I264" s="1775" t="s">
        <v>952</v>
      </c>
    </row>
    <row r="265" spans="1:9" ht="11.25" customHeight="1">
      <c r="A265" s="1775" t="s">
        <v>2293</v>
      </c>
      <c r="B265" s="1775" t="s">
        <v>16</v>
      </c>
      <c r="C265" s="1775" t="s">
        <v>2519</v>
      </c>
      <c r="D265" s="1775" t="s">
        <v>2520</v>
      </c>
      <c r="E265" s="1775" t="s">
        <v>2521</v>
      </c>
      <c r="F265" s="1775" t="s">
        <v>2405</v>
      </c>
      <c r="G265" s="1775" t="s">
        <v>30</v>
      </c>
      <c r="H265" s="1775" t="s">
        <v>30</v>
      </c>
      <c r="I265" s="1775" t="s">
        <v>952</v>
      </c>
    </row>
    <row r="266" spans="1:9" ht="11.25" customHeight="1">
      <c r="A266" s="1775" t="s">
        <v>2293</v>
      </c>
      <c r="B266" s="1775" t="s">
        <v>16</v>
      </c>
      <c r="C266" s="1775" t="s">
        <v>2550</v>
      </c>
      <c r="D266" s="1775" t="s">
        <v>2551</v>
      </c>
      <c r="E266" s="1775" t="s">
        <v>2552</v>
      </c>
      <c r="F266" s="1775" t="s">
        <v>2311</v>
      </c>
      <c r="G266" s="1775" t="s">
        <v>30</v>
      </c>
      <c r="H266" s="1775" t="s">
        <v>30</v>
      </c>
      <c r="I266" s="1775" t="s">
        <v>952</v>
      </c>
    </row>
    <row r="267" spans="1:9" ht="11.25" customHeight="1">
      <c r="A267" s="1775" t="s">
        <v>2293</v>
      </c>
      <c r="B267" s="1775" t="s">
        <v>16</v>
      </c>
      <c r="C267" s="1775" t="s">
        <v>2553</v>
      </c>
      <c r="D267" s="1775" t="s">
        <v>2554</v>
      </c>
      <c r="E267" s="1775" t="s">
        <v>2555</v>
      </c>
      <c r="F267" s="1775" t="s">
        <v>2311</v>
      </c>
      <c r="G267" s="1775" t="s">
        <v>30</v>
      </c>
      <c r="H267" s="1775" t="s">
        <v>30</v>
      </c>
      <c r="I267" s="1775" t="s">
        <v>952</v>
      </c>
    </row>
    <row r="268" spans="1:9" ht="11.25" customHeight="1">
      <c r="A268" s="1775" t="s">
        <v>2293</v>
      </c>
      <c r="B268" s="1775" t="s">
        <v>16</v>
      </c>
      <c r="C268" s="1775" t="s">
        <v>2570</v>
      </c>
      <c r="D268" s="1775" t="s">
        <v>2568</v>
      </c>
      <c r="E268" s="1775" t="s">
        <v>2571</v>
      </c>
      <c r="F268" s="1775" t="s">
        <v>56</v>
      </c>
      <c r="G268" s="1775" t="s">
        <v>30</v>
      </c>
      <c r="H268" s="1775" t="s">
        <v>30</v>
      </c>
      <c r="I268" s="1775" t="s">
        <v>952</v>
      </c>
    </row>
    <row r="269" spans="1:9" ht="11.25" customHeight="1">
      <c r="A269" s="1775" t="s">
        <v>2293</v>
      </c>
      <c r="B269" s="1775" t="s">
        <v>16</v>
      </c>
      <c r="C269" s="1775" t="s">
        <v>2575</v>
      </c>
      <c r="D269" s="1775" t="s">
        <v>2576</v>
      </c>
      <c r="E269" s="1775" t="s">
        <v>2577</v>
      </c>
      <c r="F269" s="1775" t="s">
        <v>2311</v>
      </c>
      <c r="G269" s="1775" t="s">
        <v>30</v>
      </c>
      <c r="H269" s="1775" t="s">
        <v>30</v>
      </c>
      <c r="I269" s="1775" t="s">
        <v>952</v>
      </c>
    </row>
    <row r="270" spans="1:9" ht="11.25" customHeight="1">
      <c r="A270" s="1775" t="s">
        <v>2293</v>
      </c>
      <c r="B270" s="1775" t="s">
        <v>16</v>
      </c>
      <c r="C270" s="1775" t="s">
        <v>2611</v>
      </c>
      <c r="D270" s="1775" t="s">
        <v>2612</v>
      </c>
      <c r="E270" s="1775" t="s">
        <v>2613</v>
      </c>
      <c r="F270" s="1775" t="s">
        <v>2311</v>
      </c>
      <c r="G270" s="1775" t="s">
        <v>2614</v>
      </c>
      <c r="H270" s="1775" t="s">
        <v>30</v>
      </c>
      <c r="I270" s="1775" t="s">
        <v>952</v>
      </c>
    </row>
    <row r="271" spans="1:9" ht="11.25" customHeight="1">
      <c r="A271" s="1775" t="s">
        <v>2293</v>
      </c>
      <c r="B271" s="1775" t="s">
        <v>16</v>
      </c>
      <c r="C271" s="1775" t="s">
        <v>2625</v>
      </c>
      <c r="D271" s="1775" t="s">
        <v>2626</v>
      </c>
      <c r="E271" s="1775" t="s">
        <v>2627</v>
      </c>
      <c r="F271" s="1775" t="s">
        <v>2365</v>
      </c>
      <c r="G271" s="1775" t="s">
        <v>30</v>
      </c>
      <c r="H271" s="1775" t="s">
        <v>30</v>
      </c>
      <c r="I271" s="1775" t="s">
        <v>952</v>
      </c>
    </row>
    <row r="272" spans="1:9" ht="11.25" customHeight="1">
      <c r="A272" s="1775" t="s">
        <v>2293</v>
      </c>
      <c r="B272" s="1775" t="s">
        <v>16</v>
      </c>
      <c r="C272" s="1775" t="s">
        <v>2637</v>
      </c>
      <c r="D272" s="1775" t="s">
        <v>2638</v>
      </c>
      <c r="E272" s="1775" t="s">
        <v>2639</v>
      </c>
      <c r="F272" s="1775" t="s">
        <v>56</v>
      </c>
      <c r="G272" s="1775" t="s">
        <v>30</v>
      </c>
      <c r="H272" s="1775" t="s">
        <v>30</v>
      </c>
      <c r="I272" s="1775" t="s">
        <v>952</v>
      </c>
    </row>
    <row r="273" spans="1:9" ht="11.25" customHeight="1">
      <c r="A273" s="1775" t="s">
        <v>2293</v>
      </c>
      <c r="B273" s="1775" t="s">
        <v>16</v>
      </c>
      <c r="C273" s="1775" t="s">
        <v>2653</v>
      </c>
      <c r="D273" s="1775" t="s">
        <v>2654</v>
      </c>
      <c r="E273" s="1775" t="s">
        <v>2655</v>
      </c>
      <c r="F273" s="1775" t="s">
        <v>2311</v>
      </c>
      <c r="G273" s="1775" t="s">
        <v>30</v>
      </c>
      <c r="H273" s="1775" t="s">
        <v>30</v>
      </c>
      <c r="I273" s="1775" t="s">
        <v>952</v>
      </c>
    </row>
    <row r="274" spans="1:9" ht="11.25" customHeight="1">
      <c r="A274" s="1775" t="s">
        <v>2293</v>
      </c>
      <c r="B274" s="1775" t="s">
        <v>16</v>
      </c>
      <c r="C274" s="1775" t="s">
        <v>2656</v>
      </c>
      <c r="D274" s="1775" t="s">
        <v>2657</v>
      </c>
      <c r="E274" s="1775" t="s">
        <v>2658</v>
      </c>
      <c r="F274" s="1775" t="s">
        <v>2659</v>
      </c>
      <c r="G274" s="1775" t="s">
        <v>2660</v>
      </c>
      <c r="H274" s="1775" t="s">
        <v>30</v>
      </c>
      <c r="I274" s="1775" t="s">
        <v>952</v>
      </c>
    </row>
    <row r="275" spans="1:9" ht="11.25" customHeight="1">
      <c r="A275" s="1775" t="s">
        <v>2293</v>
      </c>
      <c r="B275" s="1775" t="s">
        <v>16</v>
      </c>
      <c r="C275" s="1775" t="s">
        <v>2667</v>
      </c>
      <c r="D275" s="1775" t="s">
        <v>2668</v>
      </c>
      <c r="E275" s="1775" t="s">
        <v>2669</v>
      </c>
      <c r="F275" s="1775" t="s">
        <v>2365</v>
      </c>
      <c r="G275" s="1775" t="s">
        <v>30</v>
      </c>
      <c r="H275" s="1775" t="s">
        <v>30</v>
      </c>
      <c r="I275" s="1775" t="s">
        <v>952</v>
      </c>
    </row>
    <row r="276" spans="1:9" ht="11.25" customHeight="1">
      <c r="A276" s="1775" t="s">
        <v>2293</v>
      </c>
      <c r="B276" s="1775" t="s">
        <v>16</v>
      </c>
      <c r="C276" s="1775" t="s">
        <v>2766</v>
      </c>
      <c r="D276" s="1775" t="s">
        <v>2678</v>
      </c>
      <c r="E276" s="1775" t="s">
        <v>2679</v>
      </c>
      <c r="F276" s="1775" t="s">
        <v>2767</v>
      </c>
      <c r="G276" s="1775" t="s">
        <v>30</v>
      </c>
      <c r="H276" s="1775" t="s">
        <v>30</v>
      </c>
      <c r="I276" s="1775" t="s">
        <v>952</v>
      </c>
    </row>
    <row r="277" spans="1:9" ht="11.25" customHeight="1">
      <c r="A277" s="1775" t="s">
        <v>2293</v>
      </c>
      <c r="B277" s="1775" t="s">
        <v>16</v>
      </c>
      <c r="C277" s="1775" t="s">
        <v>2677</v>
      </c>
      <c r="D277" s="1775" t="s">
        <v>2678</v>
      </c>
      <c r="E277" s="1775" t="s">
        <v>2679</v>
      </c>
      <c r="F277" s="1775" t="s">
        <v>2680</v>
      </c>
      <c r="G277" s="1775" t="s">
        <v>2681</v>
      </c>
      <c r="H277" s="1775" t="s">
        <v>30</v>
      </c>
      <c r="I277" s="1775" t="s">
        <v>952</v>
      </c>
    </row>
    <row r="278" spans="1:9" ht="11.25" customHeight="1">
      <c r="A278" s="1775" t="s">
        <v>2293</v>
      </c>
      <c r="B278" s="1775" t="s">
        <v>16</v>
      </c>
      <c r="C278" s="1775" t="s">
        <v>2690</v>
      </c>
      <c r="D278" s="1775" t="s">
        <v>2691</v>
      </c>
      <c r="E278" s="1775" t="s">
        <v>2692</v>
      </c>
      <c r="F278" s="1775" t="s">
        <v>56</v>
      </c>
      <c r="G278" s="1775" t="s">
        <v>30</v>
      </c>
      <c r="H278" s="1775" t="s">
        <v>30</v>
      </c>
      <c r="I278" s="1775" t="s">
        <v>952</v>
      </c>
    </row>
    <row r="279" spans="1:9" ht="11.25" customHeight="1">
      <c r="A279" s="1775" t="s">
        <v>2293</v>
      </c>
      <c r="B279" s="1775" t="s">
        <v>16</v>
      </c>
      <c r="C279" s="1775" t="s">
        <v>2693</v>
      </c>
      <c r="D279" s="1775" t="s">
        <v>2694</v>
      </c>
      <c r="E279" s="1775" t="s">
        <v>2695</v>
      </c>
      <c r="F279" s="1775" t="s">
        <v>2696</v>
      </c>
      <c r="G279" s="1775" t="s">
        <v>30</v>
      </c>
      <c r="H279" s="1775" t="s">
        <v>30</v>
      </c>
      <c r="I279" s="1775" t="s">
        <v>952</v>
      </c>
    </row>
    <row r="280" spans="1:9" ht="11.25" customHeight="1">
      <c r="A280" s="1775" t="s">
        <v>2293</v>
      </c>
      <c r="B280" s="1775" t="s">
        <v>16</v>
      </c>
      <c r="C280" s="1775" t="s">
        <v>2697</v>
      </c>
      <c r="D280" s="1775" t="s">
        <v>2698</v>
      </c>
      <c r="E280" s="1775" t="s">
        <v>2699</v>
      </c>
      <c r="F280" s="1775" t="s">
        <v>2365</v>
      </c>
      <c r="G280" s="1775" t="s">
        <v>30</v>
      </c>
      <c r="H280" s="1775" t="s">
        <v>30</v>
      </c>
      <c r="I280" s="1775" t="s">
        <v>952</v>
      </c>
    </row>
    <row r="281" spans="1:9" ht="11.25" customHeight="1">
      <c r="A281" s="1775" t="s">
        <v>2293</v>
      </c>
      <c r="B281" s="1775" t="s">
        <v>16</v>
      </c>
      <c r="C281" s="1775" t="s">
        <v>2701</v>
      </c>
      <c r="D281" s="1775" t="s">
        <v>2702</v>
      </c>
      <c r="E281" s="1775" t="s">
        <v>2703</v>
      </c>
      <c r="F281" s="1775" t="s">
        <v>2704</v>
      </c>
      <c r="G281" s="1775" t="s">
        <v>30</v>
      </c>
      <c r="H281" s="1775" t="s">
        <v>30</v>
      </c>
      <c r="I281" s="1775" t="s">
        <v>952</v>
      </c>
    </row>
    <row r="282" spans="1:9" ht="11.25" customHeight="1">
      <c r="A282" s="1775" t="s">
        <v>2293</v>
      </c>
      <c r="B282" s="1775" t="s">
        <v>16</v>
      </c>
      <c r="C282" s="1775" t="s">
        <v>2709</v>
      </c>
      <c r="D282" s="1775" t="s">
        <v>2710</v>
      </c>
      <c r="E282" s="1775" t="s">
        <v>2703</v>
      </c>
      <c r="F282" s="1775" t="s">
        <v>2708</v>
      </c>
      <c r="G282" s="1775" t="s">
        <v>30</v>
      </c>
      <c r="H282" s="1775" t="s">
        <v>30</v>
      </c>
      <c r="I282" s="1775" t="s">
        <v>952</v>
      </c>
    </row>
    <row r="283" spans="1:9" ht="11.25" customHeight="1">
      <c r="A283" s="1775" t="s">
        <v>2293</v>
      </c>
      <c r="B283" s="1775" t="s">
        <v>16</v>
      </c>
      <c r="C283" s="1775" t="s">
        <v>2774</v>
      </c>
      <c r="D283" s="1775" t="s">
        <v>2775</v>
      </c>
      <c r="E283" s="1775" t="s">
        <v>2703</v>
      </c>
      <c r="F283" s="1775" t="s">
        <v>2776</v>
      </c>
      <c r="G283" s="1775" t="s">
        <v>30</v>
      </c>
      <c r="H283" s="1775" t="s">
        <v>30</v>
      </c>
      <c r="I283" s="1775" t="s">
        <v>952</v>
      </c>
    </row>
    <row r="284" spans="1:9" ht="11.25" customHeight="1">
      <c r="A284" s="1775" t="s">
        <v>2293</v>
      </c>
      <c r="B284" s="1775" t="s">
        <v>16</v>
      </c>
      <c r="C284" s="1775" t="s">
        <v>2711</v>
      </c>
      <c r="D284" s="1775" t="s">
        <v>2712</v>
      </c>
      <c r="E284" s="1775" t="s">
        <v>2713</v>
      </c>
      <c r="F284" s="1775" t="s">
        <v>56</v>
      </c>
      <c r="G284" s="1775" t="s">
        <v>30</v>
      </c>
      <c r="H284" s="1775" t="s">
        <v>30</v>
      </c>
      <c r="I284" s="1775" t="s">
        <v>952</v>
      </c>
    </row>
    <row r="285" spans="1:9" ht="11.25" customHeight="1">
      <c r="A285" s="1775" t="s">
        <v>2293</v>
      </c>
      <c r="B285" s="1775" t="s">
        <v>16</v>
      </c>
      <c r="C285" s="1775" t="s">
        <v>2714</v>
      </c>
      <c r="D285" s="1775" t="s">
        <v>2715</v>
      </c>
      <c r="E285" s="1775" t="s">
        <v>2716</v>
      </c>
      <c r="F285" s="1775" t="s">
        <v>2717</v>
      </c>
      <c r="G285" s="1775" t="s">
        <v>30</v>
      </c>
      <c r="H285" s="1775" t="s">
        <v>30</v>
      </c>
      <c r="I285" s="1775" t="s">
        <v>952</v>
      </c>
    </row>
    <row r="286" spans="1:9" ht="11.25" customHeight="1">
      <c r="A286" s="1775" t="s">
        <v>2293</v>
      </c>
      <c r="B286" s="1775" t="s">
        <v>16</v>
      </c>
      <c r="C286" s="1775" t="s">
        <v>2721</v>
      </c>
      <c r="D286" s="1775" t="s">
        <v>2722</v>
      </c>
      <c r="E286" s="1775" t="s">
        <v>2716</v>
      </c>
      <c r="F286" s="1775" t="s">
        <v>2723</v>
      </c>
      <c r="G286" s="1775" t="s">
        <v>30</v>
      </c>
      <c r="H286" s="1775" t="s">
        <v>30</v>
      </c>
      <c r="I286" s="1775" t="s">
        <v>952</v>
      </c>
    </row>
    <row r="287" spans="1:9" ht="11.25" customHeight="1">
      <c r="A287" s="1775" t="s">
        <v>2293</v>
      </c>
      <c r="B287" s="1775" t="s">
        <v>16</v>
      </c>
      <c r="C287" s="1775" t="s">
        <v>2724</v>
      </c>
      <c r="D287" s="1775" t="s">
        <v>2725</v>
      </c>
      <c r="E287" s="1775" t="s">
        <v>2726</v>
      </c>
      <c r="F287" s="1775" t="s">
        <v>2377</v>
      </c>
      <c r="G287" s="1775" t="s">
        <v>30</v>
      </c>
      <c r="H287" s="1775" t="s">
        <v>30</v>
      </c>
      <c r="I287" s="1775" t="s">
        <v>952</v>
      </c>
    </row>
    <row r="288" spans="1:9" ht="11.25" customHeight="1">
      <c r="A288" s="1775" t="s">
        <v>2293</v>
      </c>
      <c r="B288" s="1775" t="s">
        <v>16</v>
      </c>
      <c r="C288" s="1775" t="s">
        <v>30</v>
      </c>
      <c r="D288" s="1775" t="s">
        <v>2381</v>
      </c>
      <c r="E288" s="1775" t="s">
        <v>2382</v>
      </c>
      <c r="F288" s="1775" t="s">
        <v>56</v>
      </c>
      <c r="G288" s="1775" t="s">
        <v>30</v>
      </c>
      <c r="H288" s="1775" t="s">
        <v>30</v>
      </c>
      <c r="I288" s="1775" t="s">
        <v>1664</v>
      </c>
    </row>
    <row r="289" spans="1:9" ht="11.25" customHeight="1">
      <c r="A289" s="1775" t="s">
        <v>2293</v>
      </c>
      <c r="B289" s="1775" t="s">
        <v>16</v>
      </c>
      <c r="C289" s="1775" t="s">
        <v>2389</v>
      </c>
      <c r="D289" s="1775" t="s">
        <v>2390</v>
      </c>
      <c r="E289" s="1775" t="s">
        <v>2391</v>
      </c>
      <c r="F289" s="1775" t="s">
        <v>621</v>
      </c>
      <c r="G289" s="1775" t="s">
        <v>30</v>
      </c>
      <c r="H289" s="1775" t="s">
        <v>30</v>
      </c>
      <c r="I289" s="1775" t="s">
        <v>1664</v>
      </c>
    </row>
    <row r="290" spans="1:9" ht="11.25" customHeight="1">
      <c r="A290" s="1775" t="s">
        <v>2293</v>
      </c>
      <c r="B290" s="1775" t="s">
        <v>16</v>
      </c>
      <c r="C290" s="1775" t="s">
        <v>2777</v>
      </c>
      <c r="D290" s="1775" t="s">
        <v>2778</v>
      </c>
      <c r="E290" s="1775" t="s">
        <v>2779</v>
      </c>
      <c r="F290" s="1775" t="s">
        <v>621</v>
      </c>
      <c r="G290" s="1775" t="s">
        <v>30</v>
      </c>
      <c r="H290" s="1775" t="s">
        <v>30</v>
      </c>
      <c r="I290" s="1775" t="s">
        <v>1664</v>
      </c>
    </row>
    <row r="291" spans="1:9" ht="11.25" customHeight="1">
      <c r="A291" s="1775" t="s">
        <v>2293</v>
      </c>
      <c r="B291" s="1775" t="s">
        <v>16</v>
      </c>
      <c r="C291" s="1775" t="s">
        <v>2412</v>
      </c>
      <c r="D291" s="1775" t="s">
        <v>2413</v>
      </c>
      <c r="E291" s="1775" t="s">
        <v>2414</v>
      </c>
      <c r="F291" s="1775" t="s">
        <v>2369</v>
      </c>
      <c r="G291" s="1775" t="s">
        <v>30</v>
      </c>
      <c r="H291" s="1775" t="s">
        <v>30</v>
      </c>
      <c r="I291" s="1775" t="s">
        <v>1664</v>
      </c>
    </row>
    <row r="292" spans="1:9" ht="11.25" customHeight="1">
      <c r="A292" s="1775" t="s">
        <v>2293</v>
      </c>
      <c r="B292" s="1775" t="s">
        <v>16</v>
      </c>
      <c r="C292" s="1775" t="s">
        <v>2421</v>
      </c>
      <c r="D292" s="1775" t="s">
        <v>2422</v>
      </c>
      <c r="E292" s="1775" t="s">
        <v>2423</v>
      </c>
      <c r="F292" s="1775" t="s">
        <v>2311</v>
      </c>
      <c r="G292" s="1775" t="s">
        <v>30</v>
      </c>
      <c r="H292" s="1775" t="s">
        <v>30</v>
      </c>
      <c r="I292" s="1775" t="s">
        <v>1664</v>
      </c>
    </row>
    <row r="293" spans="1:9" ht="11.25" customHeight="1">
      <c r="A293" s="1775" t="s">
        <v>2293</v>
      </c>
      <c r="B293" s="1775" t="s">
        <v>16</v>
      </c>
      <c r="C293" s="1775" t="s">
        <v>2428</v>
      </c>
      <c r="D293" s="1775" t="s">
        <v>2429</v>
      </c>
      <c r="E293" s="1775" t="s">
        <v>2430</v>
      </c>
      <c r="F293" s="1775" t="s">
        <v>2369</v>
      </c>
      <c r="G293" s="1775" t="s">
        <v>30</v>
      </c>
      <c r="H293" s="1775" t="s">
        <v>30</v>
      </c>
      <c r="I293" s="1775" t="s">
        <v>1664</v>
      </c>
    </row>
    <row r="294" spans="1:9" ht="11.25" customHeight="1">
      <c r="A294" s="1775" t="s">
        <v>2293</v>
      </c>
      <c r="B294" s="1775" t="s">
        <v>16</v>
      </c>
      <c r="C294" s="1775" t="s">
        <v>2441</v>
      </c>
      <c r="D294" s="1775" t="s">
        <v>2442</v>
      </c>
      <c r="E294" s="1775" t="s">
        <v>2443</v>
      </c>
      <c r="F294" s="1775" t="s">
        <v>2405</v>
      </c>
      <c r="G294" s="1775" t="s">
        <v>30</v>
      </c>
      <c r="H294" s="1775" t="s">
        <v>30</v>
      </c>
      <c r="I294" s="1775" t="s">
        <v>1664</v>
      </c>
    </row>
    <row r="295" spans="1:9" ht="11.25" customHeight="1">
      <c r="A295" s="1775" t="s">
        <v>2293</v>
      </c>
      <c r="B295" s="1775" t="s">
        <v>16</v>
      </c>
      <c r="C295" s="1775" t="s">
        <v>2453</v>
      </c>
      <c r="D295" s="1775" t="s">
        <v>2454</v>
      </c>
      <c r="E295" s="1775" t="s">
        <v>2455</v>
      </c>
      <c r="F295" s="1775" t="s">
        <v>2365</v>
      </c>
      <c r="G295" s="1775" t="s">
        <v>30</v>
      </c>
      <c r="H295" s="1775" t="s">
        <v>30</v>
      </c>
      <c r="I295" s="1775" t="s">
        <v>1664</v>
      </c>
    </row>
    <row r="296" spans="1:9" ht="11.25" customHeight="1">
      <c r="A296" s="1775" t="s">
        <v>2293</v>
      </c>
      <c r="B296" s="1775" t="s">
        <v>16</v>
      </c>
      <c r="C296" s="1775" t="s">
        <v>2780</v>
      </c>
      <c r="D296" s="1775" t="s">
        <v>2781</v>
      </c>
      <c r="E296" s="1775" t="s">
        <v>2782</v>
      </c>
      <c r="F296" s="1775" t="s">
        <v>56</v>
      </c>
      <c r="G296" s="1775" t="s">
        <v>30</v>
      </c>
      <c r="H296" s="1775" t="s">
        <v>30</v>
      </c>
      <c r="I296" s="1775" t="s">
        <v>1664</v>
      </c>
    </row>
    <row r="297" spans="1:9" ht="11.25" customHeight="1">
      <c r="A297" s="1775" t="s">
        <v>2293</v>
      </c>
      <c r="B297" s="1775" t="s">
        <v>16</v>
      </c>
      <c r="C297" s="1775" t="s">
        <v>2747</v>
      </c>
      <c r="D297" s="1775" t="s">
        <v>2748</v>
      </c>
      <c r="E297" s="1775" t="s">
        <v>2749</v>
      </c>
      <c r="F297" s="1775" t="s">
        <v>2377</v>
      </c>
      <c r="G297" s="1775" t="s">
        <v>2750</v>
      </c>
      <c r="H297" s="1775" t="s">
        <v>30</v>
      </c>
      <c r="I297" s="1775" t="s">
        <v>1664</v>
      </c>
    </row>
    <row r="298" spans="1:9" ht="11.25" customHeight="1">
      <c r="A298" s="1775" t="s">
        <v>2293</v>
      </c>
      <c r="B298" s="1775" t="s">
        <v>16</v>
      </c>
      <c r="C298" s="1775" t="s">
        <v>2783</v>
      </c>
      <c r="D298" s="1775" t="s">
        <v>2784</v>
      </c>
      <c r="E298" s="1775" t="s">
        <v>2785</v>
      </c>
      <c r="F298" s="1775" t="s">
        <v>56</v>
      </c>
      <c r="G298" s="1775" t="s">
        <v>30</v>
      </c>
      <c r="H298" s="1775" t="s">
        <v>30</v>
      </c>
      <c r="I298" s="1775" t="s">
        <v>1664</v>
      </c>
    </row>
    <row r="299" spans="1:9" ht="11.25" customHeight="1">
      <c r="A299" s="1775" t="s">
        <v>2293</v>
      </c>
      <c r="B299" s="1775" t="s">
        <v>16</v>
      </c>
      <c r="C299" s="1775" t="s">
        <v>2786</v>
      </c>
      <c r="D299" s="1775" t="s">
        <v>2787</v>
      </c>
      <c r="E299" s="1775" t="s">
        <v>2788</v>
      </c>
      <c r="F299" s="1775" t="s">
        <v>56</v>
      </c>
      <c r="G299" s="1775" t="s">
        <v>30</v>
      </c>
      <c r="H299" s="1775" t="s">
        <v>30</v>
      </c>
      <c r="I299" s="1775" t="s">
        <v>1664</v>
      </c>
    </row>
    <row r="300" spans="1:9" ht="11.25" customHeight="1">
      <c r="A300" s="1775" t="s">
        <v>2293</v>
      </c>
      <c r="B300" s="1775" t="s">
        <v>16</v>
      </c>
      <c r="C300" s="1775" t="s">
        <v>2789</v>
      </c>
      <c r="D300" s="1775" t="s">
        <v>2790</v>
      </c>
      <c r="E300" s="1775" t="s">
        <v>2791</v>
      </c>
      <c r="F300" s="1775" t="s">
        <v>2792</v>
      </c>
      <c r="G300" s="1775" t="s">
        <v>30</v>
      </c>
      <c r="H300" s="1775" t="s">
        <v>30</v>
      </c>
      <c r="I300" s="1775" t="s">
        <v>1664</v>
      </c>
    </row>
    <row r="301" spans="1:9" ht="11.25" customHeight="1">
      <c r="A301" s="1775" t="s">
        <v>2293</v>
      </c>
      <c r="B301" s="1775" t="s">
        <v>16</v>
      </c>
      <c r="C301" s="1775" t="s">
        <v>2793</v>
      </c>
      <c r="D301" s="1775" t="s">
        <v>2794</v>
      </c>
      <c r="E301" s="1775" t="s">
        <v>2795</v>
      </c>
      <c r="F301" s="1775" t="s">
        <v>56</v>
      </c>
      <c r="G301" s="1775" t="s">
        <v>30</v>
      </c>
      <c r="H301" s="1775" t="s">
        <v>30</v>
      </c>
      <c r="I301" s="1775" t="s">
        <v>1664</v>
      </c>
    </row>
    <row r="302" spans="1:9" ht="11.25" customHeight="1">
      <c r="A302" s="1775" t="s">
        <v>2293</v>
      </c>
      <c r="B302" s="1775" t="s">
        <v>16</v>
      </c>
      <c r="C302" s="1775" t="s">
        <v>2796</v>
      </c>
      <c r="D302" s="1775" t="s">
        <v>2797</v>
      </c>
      <c r="E302" s="1775" t="s">
        <v>2798</v>
      </c>
      <c r="F302" s="1775" t="s">
        <v>56</v>
      </c>
      <c r="G302" s="1775" t="s">
        <v>30</v>
      </c>
      <c r="H302" s="1775" t="s">
        <v>30</v>
      </c>
      <c r="I302" s="1775" t="s">
        <v>1664</v>
      </c>
    </row>
    <row r="303" spans="1:9" ht="11.25" customHeight="1">
      <c r="A303" s="1775" t="s">
        <v>2293</v>
      </c>
      <c r="B303" s="1775" t="s">
        <v>16</v>
      </c>
      <c r="C303" s="1775" t="s">
        <v>2799</v>
      </c>
      <c r="D303" s="1775" t="s">
        <v>2800</v>
      </c>
      <c r="E303" s="1775" t="s">
        <v>2801</v>
      </c>
      <c r="F303" s="1775" t="s">
        <v>2369</v>
      </c>
      <c r="G303" s="1775" t="s">
        <v>30</v>
      </c>
      <c r="H303" s="1775" t="s">
        <v>30</v>
      </c>
      <c r="I303" s="1775" t="s">
        <v>1664</v>
      </c>
    </row>
    <row r="304" spans="1:9" ht="11.25" customHeight="1">
      <c r="A304" s="1775" t="s">
        <v>2293</v>
      </c>
      <c r="B304" s="1775" t="s">
        <v>16</v>
      </c>
      <c r="C304" s="1775" t="s">
        <v>2802</v>
      </c>
      <c r="D304" s="1775" t="s">
        <v>2803</v>
      </c>
      <c r="E304" s="1775" t="s">
        <v>2804</v>
      </c>
      <c r="F304" s="1775" t="s">
        <v>2805</v>
      </c>
      <c r="G304" s="1775" t="s">
        <v>30</v>
      </c>
      <c r="H304" s="1775" t="s">
        <v>30</v>
      </c>
      <c r="I304" s="1775" t="s">
        <v>1664</v>
      </c>
    </row>
    <row r="305" spans="1:9" ht="11.25" customHeight="1">
      <c r="A305" s="1775" t="s">
        <v>2293</v>
      </c>
      <c r="B305" s="1775" t="s">
        <v>16</v>
      </c>
      <c r="C305" s="1775" t="s">
        <v>2806</v>
      </c>
      <c r="D305" s="1775" t="s">
        <v>2807</v>
      </c>
      <c r="E305" s="1775" t="s">
        <v>2808</v>
      </c>
      <c r="F305" s="1775" t="s">
        <v>56</v>
      </c>
      <c r="G305" s="1775" t="s">
        <v>30</v>
      </c>
      <c r="H305" s="1775" t="s">
        <v>30</v>
      </c>
      <c r="I305" s="1775" t="s">
        <v>1664</v>
      </c>
    </row>
    <row r="306" spans="1:9" ht="11.25" customHeight="1">
      <c r="A306" s="1775" t="s">
        <v>2293</v>
      </c>
      <c r="B306" s="1775" t="s">
        <v>16</v>
      </c>
      <c r="C306" s="1775" t="s">
        <v>2809</v>
      </c>
      <c r="D306" s="1775" t="s">
        <v>2810</v>
      </c>
      <c r="E306" s="1775" t="s">
        <v>2811</v>
      </c>
      <c r="F306" s="1775" t="s">
        <v>56</v>
      </c>
      <c r="G306" s="1775" t="s">
        <v>30</v>
      </c>
      <c r="H306" s="1775" t="s">
        <v>30</v>
      </c>
      <c r="I306" s="1775" t="s">
        <v>1664</v>
      </c>
    </row>
    <row r="307" spans="1:9" ht="11.25" customHeight="1">
      <c r="A307" s="1775" t="s">
        <v>2293</v>
      </c>
      <c r="B307" s="1775" t="s">
        <v>16</v>
      </c>
      <c r="C307" s="1775" t="s">
        <v>2812</v>
      </c>
      <c r="D307" s="1775" t="s">
        <v>2813</v>
      </c>
      <c r="E307" s="1775" t="s">
        <v>2814</v>
      </c>
      <c r="F307" s="1775" t="s">
        <v>2369</v>
      </c>
      <c r="G307" s="1775" t="s">
        <v>30</v>
      </c>
      <c r="H307" s="1775" t="s">
        <v>30</v>
      </c>
      <c r="I307" s="1775" t="s">
        <v>1664</v>
      </c>
    </row>
    <row r="308" spans="1:9" ht="11.25" customHeight="1">
      <c r="A308" s="1775" t="s">
        <v>2293</v>
      </c>
      <c r="B308" s="1775" t="s">
        <v>16</v>
      </c>
      <c r="C308" s="1775" t="s">
        <v>2815</v>
      </c>
      <c r="D308" s="1775" t="s">
        <v>2816</v>
      </c>
      <c r="E308" s="1775" t="s">
        <v>2817</v>
      </c>
      <c r="F308" s="1775" t="s">
        <v>56</v>
      </c>
      <c r="G308" s="1775" t="s">
        <v>30</v>
      </c>
      <c r="H308" s="1775" t="s">
        <v>30</v>
      </c>
      <c r="I308" s="1775" t="s">
        <v>1664</v>
      </c>
    </row>
    <row r="309" spans="1:9" ht="11.25" customHeight="1">
      <c r="A309" s="1775" t="s">
        <v>2293</v>
      </c>
      <c r="B309" s="1775" t="s">
        <v>16</v>
      </c>
      <c r="C309" s="1775" t="s">
        <v>2661</v>
      </c>
      <c r="D309" s="1775" t="s">
        <v>2662</v>
      </c>
      <c r="E309" s="1775" t="s">
        <v>2663</v>
      </c>
      <c r="F309" s="1775" t="s">
        <v>2365</v>
      </c>
      <c r="G309" s="1775" t="s">
        <v>30</v>
      </c>
      <c r="H309" s="1775" t="s">
        <v>30</v>
      </c>
      <c r="I309" s="1775" t="s">
        <v>1664</v>
      </c>
    </row>
    <row r="310" spans="1:9" ht="11.25" customHeight="1">
      <c r="A310" s="1775" t="s">
        <v>2293</v>
      </c>
      <c r="B310" s="1775" t="s">
        <v>16</v>
      </c>
      <c r="C310" s="1775" t="s">
        <v>2667</v>
      </c>
      <c r="D310" s="1775" t="s">
        <v>2668</v>
      </c>
      <c r="E310" s="1775" t="s">
        <v>2669</v>
      </c>
      <c r="F310" s="1775" t="s">
        <v>2365</v>
      </c>
      <c r="G310" s="1775" t="s">
        <v>30</v>
      </c>
      <c r="H310" s="1775" t="s">
        <v>30</v>
      </c>
      <c r="I310" s="1775" t="s">
        <v>1664</v>
      </c>
    </row>
    <row r="311" spans="1:9" ht="11.25" customHeight="1">
      <c r="A311" s="1775" t="s">
        <v>2293</v>
      </c>
      <c r="B311" s="1775" t="s">
        <v>16</v>
      </c>
      <c r="C311" s="1775" t="s">
        <v>2697</v>
      </c>
      <c r="D311" s="1775" t="s">
        <v>2698</v>
      </c>
      <c r="E311" s="1775" t="s">
        <v>2699</v>
      </c>
      <c r="F311" s="1775" t="s">
        <v>2365</v>
      </c>
      <c r="G311" s="1775" t="s">
        <v>30</v>
      </c>
      <c r="H311" s="1775" t="s">
        <v>30</v>
      </c>
      <c r="I311" s="1775" t="s">
        <v>1664</v>
      </c>
    </row>
    <row r="312" spans="1:9" ht="11.25" customHeight="1">
      <c r="A312" s="1775" t="s">
        <v>2293</v>
      </c>
      <c r="B312" s="1775" t="s">
        <v>16</v>
      </c>
      <c r="C312" s="1775" t="s">
        <v>2724</v>
      </c>
      <c r="D312" s="1775" t="s">
        <v>2725</v>
      </c>
      <c r="E312" s="1775" t="s">
        <v>2726</v>
      </c>
      <c r="F312" s="1775" t="s">
        <v>2377</v>
      </c>
      <c r="G312" s="1775" t="s">
        <v>30</v>
      </c>
      <c r="H312" s="1775" t="s">
        <v>30</v>
      </c>
      <c r="I312" s="1775" t="s">
        <v>1664</v>
      </c>
    </row>
  </sheetData>
  <sheetProtection formatColumns="0" formatRows="0"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01"/>
  <sheetViews>
    <sheetView showGridLines="0" workbookViewId="0"/>
  </sheetViews>
  <sheetFormatPr defaultRowHeight="11.25" customHeight="1"/>
  <cols>
    <col min="1" max="1" width="9.140625" style="1775"/>
  </cols>
  <sheetData>
    <row r="1" spans="1:7" ht="11.25" customHeight="1">
      <c r="A1" s="310" t="s">
        <v>2818</v>
      </c>
      <c r="B1" s="4" t="s">
        <v>2819</v>
      </c>
      <c r="C1" s="4" t="s">
        <v>2820</v>
      </c>
      <c r="D1" s="4" t="s">
        <v>2821</v>
      </c>
      <c r="E1" s="2" t="s">
        <v>2822</v>
      </c>
      <c r="F1" s="2" t="s">
        <v>2823</v>
      </c>
      <c r="G1" s="2" t="s">
        <v>2824</v>
      </c>
    </row>
    <row r="2" spans="1:7" ht="11.25" customHeight="1">
      <c r="A2" s="310" t="s">
        <v>16</v>
      </c>
      <c r="B2" t="s">
        <v>2825</v>
      </c>
      <c r="C2" t="s">
        <v>2826</v>
      </c>
      <c r="D2" t="s">
        <v>2825</v>
      </c>
      <c r="E2" t="s">
        <v>2826</v>
      </c>
      <c r="F2" t="s">
        <v>2827</v>
      </c>
      <c r="G2" t="s">
        <v>114</v>
      </c>
    </row>
    <row r="3" spans="1:7" ht="11.25" customHeight="1">
      <c r="A3" s="310" t="s">
        <v>16</v>
      </c>
      <c r="B3" t="s">
        <v>2825</v>
      </c>
      <c r="C3" t="s">
        <v>2826</v>
      </c>
      <c r="D3" t="s">
        <v>2828</v>
      </c>
      <c r="E3" t="s">
        <v>2829</v>
      </c>
      <c r="F3" t="s">
        <v>2830</v>
      </c>
      <c r="G3" t="s">
        <v>115</v>
      </c>
    </row>
    <row r="4" spans="1:7" ht="11.25" customHeight="1">
      <c r="A4" s="310" t="s">
        <v>16</v>
      </c>
      <c r="B4" t="s">
        <v>2825</v>
      </c>
      <c r="C4" t="s">
        <v>2826</v>
      </c>
      <c r="D4" t="s">
        <v>2831</v>
      </c>
      <c r="E4" t="s">
        <v>2832</v>
      </c>
      <c r="F4" t="s">
        <v>2830</v>
      </c>
      <c r="G4" t="s">
        <v>95</v>
      </c>
    </row>
    <row r="5" spans="1:7" ht="11.25" customHeight="1">
      <c r="A5" s="310" t="s">
        <v>16</v>
      </c>
      <c r="B5" t="s">
        <v>2825</v>
      </c>
      <c r="C5" t="s">
        <v>2826</v>
      </c>
      <c r="D5" t="s">
        <v>2833</v>
      </c>
      <c r="E5" t="s">
        <v>2834</v>
      </c>
      <c r="F5" t="s">
        <v>2830</v>
      </c>
      <c r="G5" t="s">
        <v>96</v>
      </c>
    </row>
    <row r="6" spans="1:7" ht="11.25" customHeight="1">
      <c r="A6" s="310" t="s">
        <v>16</v>
      </c>
      <c r="B6" t="s">
        <v>2825</v>
      </c>
      <c r="C6" t="s">
        <v>2826</v>
      </c>
      <c r="D6" t="s">
        <v>2835</v>
      </c>
      <c r="E6" t="s">
        <v>2836</v>
      </c>
      <c r="F6" t="s">
        <v>2830</v>
      </c>
      <c r="G6" t="s">
        <v>116</v>
      </c>
    </row>
    <row r="7" spans="1:7" ht="11.25" customHeight="1">
      <c r="A7" s="310" t="s">
        <v>16</v>
      </c>
      <c r="B7" t="s">
        <v>2825</v>
      </c>
      <c r="C7" t="s">
        <v>2826</v>
      </c>
      <c r="D7" t="s">
        <v>2837</v>
      </c>
      <c r="E7" t="s">
        <v>2838</v>
      </c>
      <c r="F7" t="s">
        <v>2830</v>
      </c>
      <c r="G7" t="s">
        <v>97</v>
      </c>
    </row>
    <row r="8" spans="1:7" ht="11.25" customHeight="1">
      <c r="A8" s="310" t="s">
        <v>16</v>
      </c>
      <c r="B8" t="s">
        <v>2825</v>
      </c>
      <c r="C8" t="s">
        <v>2826</v>
      </c>
      <c r="D8" t="s">
        <v>2839</v>
      </c>
      <c r="E8" t="s">
        <v>2840</v>
      </c>
      <c r="F8" t="s">
        <v>2830</v>
      </c>
      <c r="G8" t="s">
        <v>98</v>
      </c>
    </row>
    <row r="9" spans="1:7" ht="11.25" customHeight="1">
      <c r="A9" s="310" t="s">
        <v>16</v>
      </c>
      <c r="B9" t="s">
        <v>2825</v>
      </c>
      <c r="C9" t="s">
        <v>2826</v>
      </c>
      <c r="D9" t="s">
        <v>2841</v>
      </c>
      <c r="E9" t="s">
        <v>2842</v>
      </c>
      <c r="F9" t="s">
        <v>2830</v>
      </c>
      <c r="G9" t="s">
        <v>117</v>
      </c>
    </row>
    <row r="10" spans="1:7" ht="11.25" customHeight="1">
      <c r="A10" s="310" t="s">
        <v>16</v>
      </c>
      <c r="B10" t="s">
        <v>2825</v>
      </c>
      <c r="C10" t="s">
        <v>2826</v>
      </c>
      <c r="D10" t="s">
        <v>2843</v>
      </c>
      <c r="E10" t="s">
        <v>2844</v>
      </c>
      <c r="F10" t="s">
        <v>2830</v>
      </c>
      <c r="G10" t="s">
        <v>153</v>
      </c>
    </row>
    <row r="11" spans="1:7" ht="11.25" customHeight="1">
      <c r="A11" s="310" t="s">
        <v>16</v>
      </c>
      <c r="B11" t="s">
        <v>2825</v>
      </c>
      <c r="C11" t="s">
        <v>2826</v>
      </c>
      <c r="D11" t="s">
        <v>2845</v>
      </c>
      <c r="E11" t="s">
        <v>2846</v>
      </c>
      <c r="F11" t="s">
        <v>2830</v>
      </c>
      <c r="G11" t="s">
        <v>154</v>
      </c>
    </row>
    <row r="12" spans="1:7" ht="11.25" customHeight="1">
      <c r="A12" s="310" t="s">
        <v>16</v>
      </c>
      <c r="B12" t="s">
        <v>2825</v>
      </c>
      <c r="C12" t="s">
        <v>2826</v>
      </c>
      <c r="D12" t="s">
        <v>2847</v>
      </c>
      <c r="E12" t="s">
        <v>2848</v>
      </c>
      <c r="F12" t="s">
        <v>2830</v>
      </c>
      <c r="G12" t="s">
        <v>155</v>
      </c>
    </row>
    <row r="13" spans="1:7" ht="11.25" customHeight="1">
      <c r="A13" s="310" t="s">
        <v>16</v>
      </c>
      <c r="B13" t="s">
        <v>2825</v>
      </c>
      <c r="C13" t="s">
        <v>2826</v>
      </c>
      <c r="D13" t="s">
        <v>2849</v>
      </c>
      <c r="E13" t="s">
        <v>2850</v>
      </c>
      <c r="F13" t="s">
        <v>2830</v>
      </c>
      <c r="G13" t="s">
        <v>156</v>
      </c>
    </row>
    <row r="14" spans="1:7" ht="11.25" customHeight="1">
      <c r="A14" s="310" t="s">
        <v>16</v>
      </c>
      <c r="B14" t="s">
        <v>2851</v>
      </c>
      <c r="C14" t="s">
        <v>2852</v>
      </c>
      <c r="D14" t="s">
        <v>2851</v>
      </c>
      <c r="E14" t="s">
        <v>2852</v>
      </c>
      <c r="F14" t="s">
        <v>2827</v>
      </c>
      <c r="G14" t="s">
        <v>157</v>
      </c>
    </row>
    <row r="15" spans="1:7" ht="11.25" customHeight="1">
      <c r="A15" s="310" t="s">
        <v>16</v>
      </c>
      <c r="B15" t="s">
        <v>2851</v>
      </c>
      <c r="C15" t="s">
        <v>2852</v>
      </c>
      <c r="D15" t="s">
        <v>2853</v>
      </c>
      <c r="E15" t="s">
        <v>2854</v>
      </c>
      <c r="F15" t="s">
        <v>2830</v>
      </c>
      <c r="G15" t="s">
        <v>158</v>
      </c>
    </row>
    <row r="16" spans="1:7" ht="11.25" customHeight="1">
      <c r="A16" s="310" t="s">
        <v>16</v>
      </c>
      <c r="B16" t="s">
        <v>2851</v>
      </c>
      <c r="C16" t="s">
        <v>2852</v>
      </c>
      <c r="D16" t="s">
        <v>2855</v>
      </c>
      <c r="E16" t="s">
        <v>2856</v>
      </c>
      <c r="F16" t="s">
        <v>2830</v>
      </c>
      <c r="G16" t="s">
        <v>1507</v>
      </c>
    </row>
    <row r="17" spans="1:7" ht="11.25" customHeight="1">
      <c r="A17" s="310" t="s">
        <v>16</v>
      </c>
      <c r="B17" t="s">
        <v>2851</v>
      </c>
      <c r="C17" t="s">
        <v>2852</v>
      </c>
      <c r="D17" t="s">
        <v>2857</v>
      </c>
      <c r="E17" t="s">
        <v>2858</v>
      </c>
      <c r="F17" t="s">
        <v>2830</v>
      </c>
      <c r="G17" t="s">
        <v>1513</v>
      </c>
    </row>
    <row r="18" spans="1:7" ht="11.25" customHeight="1">
      <c r="A18" s="310" t="s">
        <v>16</v>
      </c>
      <c r="B18" t="s">
        <v>2851</v>
      </c>
      <c r="C18" t="s">
        <v>2852</v>
      </c>
      <c r="D18" t="s">
        <v>2859</v>
      </c>
      <c r="E18" t="s">
        <v>2860</v>
      </c>
      <c r="F18" t="s">
        <v>2830</v>
      </c>
      <c r="G18" t="s">
        <v>1525</v>
      </c>
    </row>
    <row r="19" spans="1:7" ht="11.25" customHeight="1">
      <c r="A19" s="310" t="s">
        <v>16</v>
      </c>
      <c r="B19" t="s">
        <v>2851</v>
      </c>
      <c r="C19" t="s">
        <v>2852</v>
      </c>
      <c r="D19" t="s">
        <v>2861</v>
      </c>
      <c r="E19" t="s">
        <v>2862</v>
      </c>
      <c r="F19" t="s">
        <v>2830</v>
      </c>
      <c r="G19" t="s">
        <v>1539</v>
      </c>
    </row>
    <row r="20" spans="1:7" ht="11.25" customHeight="1">
      <c r="A20" s="310" t="s">
        <v>16</v>
      </c>
      <c r="B20" t="s">
        <v>2851</v>
      </c>
      <c r="C20" t="s">
        <v>2852</v>
      </c>
      <c r="D20" t="s">
        <v>2863</v>
      </c>
      <c r="E20" t="s">
        <v>2864</v>
      </c>
      <c r="F20" t="s">
        <v>2830</v>
      </c>
      <c r="G20" t="s">
        <v>1551</v>
      </c>
    </row>
    <row r="21" spans="1:7" ht="11.25" customHeight="1">
      <c r="A21" s="310" t="s">
        <v>16</v>
      </c>
      <c r="B21" t="s">
        <v>2851</v>
      </c>
      <c r="C21" t="s">
        <v>2852</v>
      </c>
      <c r="D21" t="s">
        <v>2865</v>
      </c>
      <c r="E21" t="s">
        <v>2866</v>
      </c>
      <c r="F21" t="s">
        <v>2830</v>
      </c>
      <c r="G21" t="s">
        <v>1560</v>
      </c>
    </row>
    <row r="22" spans="1:7" ht="11.25" customHeight="1">
      <c r="A22" s="310" t="s">
        <v>16</v>
      </c>
      <c r="B22" t="s">
        <v>2851</v>
      </c>
      <c r="C22" t="s">
        <v>2852</v>
      </c>
      <c r="D22" t="s">
        <v>2867</v>
      </c>
      <c r="E22" t="s">
        <v>2868</v>
      </c>
      <c r="F22" t="s">
        <v>2830</v>
      </c>
      <c r="G22" t="s">
        <v>1576</v>
      </c>
    </row>
    <row r="23" spans="1:7" ht="11.25" customHeight="1">
      <c r="A23" s="310" t="s">
        <v>16</v>
      </c>
      <c r="B23" t="s">
        <v>2851</v>
      </c>
      <c r="C23" t="s">
        <v>2852</v>
      </c>
      <c r="D23" t="s">
        <v>2869</v>
      </c>
      <c r="E23" t="s">
        <v>2870</v>
      </c>
      <c r="F23" t="s">
        <v>2830</v>
      </c>
      <c r="G23" t="s">
        <v>1583</v>
      </c>
    </row>
    <row r="24" spans="1:7" ht="11.25" customHeight="1">
      <c r="A24" s="310" t="s">
        <v>16</v>
      </c>
      <c r="B24" t="s">
        <v>2871</v>
      </c>
      <c r="C24" t="s">
        <v>2872</v>
      </c>
      <c r="D24" t="s">
        <v>2871</v>
      </c>
      <c r="E24" t="s">
        <v>2872</v>
      </c>
      <c r="F24" t="s">
        <v>2827</v>
      </c>
      <c r="G24" t="s">
        <v>1591</v>
      </c>
    </row>
    <row r="25" spans="1:7" ht="11.25" customHeight="1">
      <c r="A25" s="310" t="s">
        <v>16</v>
      </c>
      <c r="B25" t="s">
        <v>2871</v>
      </c>
      <c r="C25" t="s">
        <v>2872</v>
      </c>
      <c r="D25" t="s">
        <v>2873</v>
      </c>
      <c r="E25" t="s">
        <v>2874</v>
      </c>
      <c r="F25" t="s">
        <v>2830</v>
      </c>
      <c r="G25" t="s">
        <v>1598</v>
      </c>
    </row>
    <row r="26" spans="1:7" ht="11.25" customHeight="1">
      <c r="A26" s="310" t="s">
        <v>16</v>
      </c>
      <c r="B26" t="s">
        <v>2871</v>
      </c>
      <c r="C26" t="s">
        <v>2872</v>
      </c>
      <c r="D26" t="s">
        <v>2875</v>
      </c>
      <c r="E26" t="s">
        <v>2876</v>
      </c>
      <c r="F26" t="s">
        <v>2830</v>
      </c>
      <c r="G26" t="s">
        <v>1602</v>
      </c>
    </row>
    <row r="27" spans="1:7" ht="11.25" customHeight="1">
      <c r="A27" s="310" t="s">
        <v>16</v>
      </c>
      <c r="B27" t="s">
        <v>2871</v>
      </c>
      <c r="C27" t="s">
        <v>2872</v>
      </c>
      <c r="D27" t="s">
        <v>2877</v>
      </c>
      <c r="E27" t="s">
        <v>2878</v>
      </c>
      <c r="F27" t="s">
        <v>2830</v>
      </c>
      <c r="G27" t="s">
        <v>1607</v>
      </c>
    </row>
    <row r="28" spans="1:7" ht="11.25" customHeight="1">
      <c r="A28" s="310" t="s">
        <v>16</v>
      </c>
      <c r="B28" t="s">
        <v>2871</v>
      </c>
      <c r="C28" t="s">
        <v>2872</v>
      </c>
      <c r="D28" t="s">
        <v>2879</v>
      </c>
      <c r="E28" t="s">
        <v>2880</v>
      </c>
      <c r="F28" t="s">
        <v>2830</v>
      </c>
      <c r="G28" t="s">
        <v>1615</v>
      </c>
    </row>
    <row r="29" spans="1:7" ht="11.25" customHeight="1">
      <c r="A29" s="310" t="s">
        <v>16</v>
      </c>
      <c r="B29" t="s">
        <v>2871</v>
      </c>
      <c r="C29" t="s">
        <v>2872</v>
      </c>
      <c r="D29" t="s">
        <v>2881</v>
      </c>
      <c r="E29" t="s">
        <v>2882</v>
      </c>
      <c r="F29" t="s">
        <v>2830</v>
      </c>
      <c r="G29" t="s">
        <v>1617</v>
      </c>
    </row>
    <row r="30" spans="1:7" ht="11.25" customHeight="1">
      <c r="A30" s="310" t="s">
        <v>16</v>
      </c>
      <c r="B30" t="s">
        <v>2871</v>
      </c>
      <c r="C30" t="s">
        <v>2872</v>
      </c>
      <c r="D30" t="s">
        <v>2883</v>
      </c>
      <c r="E30" t="s">
        <v>2884</v>
      </c>
      <c r="F30" t="s">
        <v>2830</v>
      </c>
      <c r="G30" t="s">
        <v>1620</v>
      </c>
    </row>
    <row r="31" spans="1:7" ht="11.25" customHeight="1">
      <c r="A31" s="310" t="s">
        <v>16</v>
      </c>
      <c r="B31" t="s">
        <v>2871</v>
      </c>
      <c r="C31" t="s">
        <v>2872</v>
      </c>
      <c r="D31" t="s">
        <v>2885</v>
      </c>
      <c r="E31" t="s">
        <v>2886</v>
      </c>
      <c r="F31" t="s">
        <v>2830</v>
      </c>
      <c r="G31" t="s">
        <v>1626</v>
      </c>
    </row>
    <row r="32" spans="1:7" ht="11.25" customHeight="1">
      <c r="A32" s="310" t="s">
        <v>16</v>
      </c>
      <c r="B32" t="s">
        <v>2871</v>
      </c>
      <c r="C32" t="s">
        <v>2872</v>
      </c>
      <c r="D32" t="s">
        <v>2887</v>
      </c>
      <c r="E32" t="s">
        <v>2888</v>
      </c>
      <c r="F32" t="s">
        <v>2830</v>
      </c>
      <c r="G32" t="s">
        <v>1628</v>
      </c>
    </row>
    <row r="33" spans="1:7" ht="11.25" customHeight="1">
      <c r="A33" s="310" t="s">
        <v>16</v>
      </c>
      <c r="B33" t="s">
        <v>2871</v>
      </c>
      <c r="C33" t="s">
        <v>2872</v>
      </c>
      <c r="D33" t="s">
        <v>2889</v>
      </c>
      <c r="E33" t="s">
        <v>2890</v>
      </c>
      <c r="F33" t="s">
        <v>2830</v>
      </c>
      <c r="G33" t="s">
        <v>1630</v>
      </c>
    </row>
    <row r="34" spans="1:7" ht="11.25" customHeight="1">
      <c r="A34" s="310" t="s">
        <v>16</v>
      </c>
      <c r="B34" t="s">
        <v>2871</v>
      </c>
      <c r="C34" t="s">
        <v>2872</v>
      </c>
      <c r="D34" t="s">
        <v>2891</v>
      </c>
      <c r="E34" t="s">
        <v>2892</v>
      </c>
      <c r="F34" t="s">
        <v>2830</v>
      </c>
      <c r="G34" t="s">
        <v>1632</v>
      </c>
    </row>
    <row r="35" spans="1:7" ht="11.25" customHeight="1">
      <c r="A35" s="310" t="s">
        <v>16</v>
      </c>
      <c r="B35" t="s">
        <v>2871</v>
      </c>
      <c r="C35" t="s">
        <v>2872</v>
      </c>
      <c r="D35" t="s">
        <v>2893</v>
      </c>
      <c r="E35" t="s">
        <v>2894</v>
      </c>
      <c r="F35" t="s">
        <v>2830</v>
      </c>
      <c r="G35" t="s">
        <v>1637</v>
      </c>
    </row>
    <row r="36" spans="1:7" ht="11.25" customHeight="1">
      <c r="A36" s="310" t="s">
        <v>16</v>
      </c>
      <c r="B36" t="s">
        <v>2895</v>
      </c>
      <c r="C36" t="s">
        <v>2896</v>
      </c>
      <c r="D36" t="s">
        <v>2895</v>
      </c>
      <c r="E36" t="s">
        <v>2896</v>
      </c>
      <c r="F36" t="s">
        <v>2827</v>
      </c>
      <c r="G36" t="s">
        <v>1642</v>
      </c>
    </row>
    <row r="37" spans="1:7" ht="11.25" customHeight="1">
      <c r="A37" s="310" t="s">
        <v>16</v>
      </c>
      <c r="B37" t="s">
        <v>2895</v>
      </c>
      <c r="C37" t="s">
        <v>2896</v>
      </c>
      <c r="D37" t="s">
        <v>2897</v>
      </c>
      <c r="E37" t="s">
        <v>2898</v>
      </c>
      <c r="F37" t="s">
        <v>2830</v>
      </c>
      <c r="G37" t="s">
        <v>1646</v>
      </c>
    </row>
    <row r="38" spans="1:7" ht="11.25" customHeight="1">
      <c r="A38" s="310" t="s">
        <v>16</v>
      </c>
      <c r="B38" t="s">
        <v>2895</v>
      </c>
      <c r="C38" t="s">
        <v>2896</v>
      </c>
      <c r="D38" t="s">
        <v>2899</v>
      </c>
      <c r="E38" t="s">
        <v>2900</v>
      </c>
      <c r="F38" t="s">
        <v>2830</v>
      </c>
      <c r="G38" t="s">
        <v>1654</v>
      </c>
    </row>
    <row r="39" spans="1:7" ht="11.25" customHeight="1">
      <c r="A39" s="310" t="s">
        <v>16</v>
      </c>
      <c r="B39" t="s">
        <v>2895</v>
      </c>
      <c r="C39" t="s">
        <v>2896</v>
      </c>
      <c r="D39" t="s">
        <v>2901</v>
      </c>
      <c r="E39" t="s">
        <v>2902</v>
      </c>
      <c r="F39" t="s">
        <v>2830</v>
      </c>
      <c r="G39" t="s">
        <v>1660</v>
      </c>
    </row>
    <row r="40" spans="1:7" ht="11.25" customHeight="1">
      <c r="A40" s="310" t="s">
        <v>16</v>
      </c>
      <c r="B40" t="s">
        <v>2895</v>
      </c>
      <c r="C40" t="s">
        <v>2896</v>
      </c>
      <c r="D40" t="s">
        <v>2903</v>
      </c>
      <c r="E40" t="s">
        <v>2904</v>
      </c>
      <c r="F40" t="s">
        <v>2830</v>
      </c>
      <c r="G40" t="s">
        <v>1665</v>
      </c>
    </row>
    <row r="41" spans="1:7" ht="11.25" customHeight="1">
      <c r="A41" s="310" t="s">
        <v>16</v>
      </c>
      <c r="B41" t="s">
        <v>2895</v>
      </c>
      <c r="C41" t="s">
        <v>2896</v>
      </c>
      <c r="D41" t="s">
        <v>2905</v>
      </c>
      <c r="E41" t="s">
        <v>2906</v>
      </c>
      <c r="F41" t="s">
        <v>2830</v>
      </c>
      <c r="G41" t="s">
        <v>1669</v>
      </c>
    </row>
    <row r="42" spans="1:7" ht="11.25" customHeight="1">
      <c r="A42" s="310" t="s">
        <v>16</v>
      </c>
      <c r="B42" t="s">
        <v>2895</v>
      </c>
      <c r="C42" t="s">
        <v>2896</v>
      </c>
      <c r="D42" t="s">
        <v>2907</v>
      </c>
      <c r="E42" t="s">
        <v>2908</v>
      </c>
      <c r="F42" t="s">
        <v>2830</v>
      </c>
      <c r="G42" t="s">
        <v>1672</v>
      </c>
    </row>
    <row r="43" spans="1:7" ht="11.25" customHeight="1">
      <c r="A43" s="310" t="s">
        <v>16</v>
      </c>
      <c r="B43" t="s">
        <v>2895</v>
      </c>
      <c r="C43" t="s">
        <v>2896</v>
      </c>
      <c r="D43" t="s">
        <v>2909</v>
      </c>
      <c r="E43" t="s">
        <v>2910</v>
      </c>
      <c r="F43" t="s">
        <v>2830</v>
      </c>
      <c r="G43" t="s">
        <v>1679</v>
      </c>
    </row>
    <row r="44" spans="1:7" ht="11.25" customHeight="1">
      <c r="A44" s="310" t="s">
        <v>16</v>
      </c>
      <c r="B44" t="s">
        <v>2895</v>
      </c>
      <c r="C44" t="s">
        <v>2896</v>
      </c>
      <c r="D44" t="s">
        <v>2911</v>
      </c>
      <c r="E44" t="s">
        <v>2912</v>
      </c>
      <c r="F44" t="s">
        <v>2830</v>
      </c>
      <c r="G44" t="s">
        <v>1688</v>
      </c>
    </row>
    <row r="45" spans="1:7" ht="11.25" customHeight="1">
      <c r="A45" s="310" t="s">
        <v>16</v>
      </c>
      <c r="B45" t="s">
        <v>2895</v>
      </c>
      <c r="C45" t="s">
        <v>2896</v>
      </c>
      <c r="D45" t="s">
        <v>2913</v>
      </c>
      <c r="E45" t="s">
        <v>2914</v>
      </c>
      <c r="F45" t="s">
        <v>2830</v>
      </c>
      <c r="G45" t="s">
        <v>1693</v>
      </c>
    </row>
    <row r="46" spans="1:7" ht="11.25" customHeight="1">
      <c r="A46" s="310" t="s">
        <v>16</v>
      </c>
      <c r="B46" t="s">
        <v>2915</v>
      </c>
      <c r="C46" t="s">
        <v>2916</v>
      </c>
      <c r="D46" t="s">
        <v>2917</v>
      </c>
      <c r="E46" t="s">
        <v>2918</v>
      </c>
      <c r="F46" t="s">
        <v>2830</v>
      </c>
      <c r="G46" t="s">
        <v>1697</v>
      </c>
    </row>
    <row r="47" spans="1:7" ht="11.25" customHeight="1">
      <c r="A47" s="310" t="s">
        <v>16</v>
      </c>
      <c r="B47" t="s">
        <v>2915</v>
      </c>
      <c r="C47" t="s">
        <v>2916</v>
      </c>
      <c r="D47" t="s">
        <v>2919</v>
      </c>
      <c r="E47" t="s">
        <v>2920</v>
      </c>
      <c r="F47" t="s">
        <v>2830</v>
      </c>
      <c r="G47" t="s">
        <v>1703</v>
      </c>
    </row>
    <row r="48" spans="1:7" ht="11.25" customHeight="1">
      <c r="A48" s="310" t="s">
        <v>16</v>
      </c>
      <c r="B48" t="s">
        <v>2915</v>
      </c>
      <c r="C48" t="s">
        <v>2916</v>
      </c>
      <c r="D48" t="s">
        <v>2915</v>
      </c>
      <c r="E48" t="s">
        <v>2916</v>
      </c>
      <c r="F48" t="s">
        <v>2827</v>
      </c>
      <c r="G48" t="s">
        <v>1708</v>
      </c>
    </row>
    <row r="49" spans="1:7" ht="11.25" customHeight="1">
      <c r="A49" s="310" t="s">
        <v>16</v>
      </c>
      <c r="B49" t="s">
        <v>2915</v>
      </c>
      <c r="C49" t="s">
        <v>2916</v>
      </c>
      <c r="D49" t="s">
        <v>2921</v>
      </c>
      <c r="E49" t="s">
        <v>2922</v>
      </c>
      <c r="F49" t="s">
        <v>2830</v>
      </c>
      <c r="G49" t="s">
        <v>1711</v>
      </c>
    </row>
    <row r="50" spans="1:7" ht="11.25" customHeight="1">
      <c r="A50" s="310" t="s">
        <v>16</v>
      </c>
      <c r="B50" t="s">
        <v>2915</v>
      </c>
      <c r="C50" t="s">
        <v>2916</v>
      </c>
      <c r="D50" t="s">
        <v>2923</v>
      </c>
      <c r="E50" t="s">
        <v>2924</v>
      </c>
      <c r="F50" t="s">
        <v>2830</v>
      </c>
      <c r="G50" t="s">
        <v>1714</v>
      </c>
    </row>
    <row r="51" spans="1:7" ht="11.25" customHeight="1">
      <c r="A51" s="310" t="s">
        <v>16</v>
      </c>
      <c r="B51" t="s">
        <v>2915</v>
      </c>
      <c r="C51" t="s">
        <v>2916</v>
      </c>
      <c r="D51" t="s">
        <v>2925</v>
      </c>
      <c r="E51" t="s">
        <v>2926</v>
      </c>
      <c r="F51" t="s">
        <v>2830</v>
      </c>
      <c r="G51" t="s">
        <v>1719</v>
      </c>
    </row>
    <row r="52" spans="1:7" ht="11.25" customHeight="1">
      <c r="A52" s="310" t="s">
        <v>16</v>
      </c>
      <c r="B52" t="s">
        <v>2915</v>
      </c>
      <c r="C52" t="s">
        <v>2916</v>
      </c>
      <c r="D52" t="s">
        <v>2927</v>
      </c>
      <c r="E52" t="s">
        <v>2928</v>
      </c>
      <c r="F52" t="s">
        <v>2830</v>
      </c>
      <c r="G52" t="s">
        <v>1723</v>
      </c>
    </row>
    <row r="53" spans="1:7" ht="11.25" customHeight="1">
      <c r="A53" s="310" t="s">
        <v>16</v>
      </c>
      <c r="B53" t="s">
        <v>2915</v>
      </c>
      <c r="C53" t="s">
        <v>2916</v>
      </c>
      <c r="D53" t="s">
        <v>2929</v>
      </c>
      <c r="E53" t="s">
        <v>2930</v>
      </c>
      <c r="F53" t="s">
        <v>2830</v>
      </c>
      <c r="G53" t="s">
        <v>1725</v>
      </c>
    </row>
    <row r="54" spans="1:7" ht="11.25" customHeight="1">
      <c r="A54" s="310" t="s">
        <v>16</v>
      </c>
      <c r="B54" t="s">
        <v>2915</v>
      </c>
      <c r="C54" t="s">
        <v>2916</v>
      </c>
      <c r="D54" t="s">
        <v>2931</v>
      </c>
      <c r="E54" t="s">
        <v>2932</v>
      </c>
      <c r="F54" t="s">
        <v>2830</v>
      </c>
      <c r="G54" t="s">
        <v>1728</v>
      </c>
    </row>
    <row r="55" spans="1:7" ht="11.25" customHeight="1">
      <c r="A55" s="310" t="s">
        <v>16</v>
      </c>
      <c r="B55" t="s">
        <v>2915</v>
      </c>
      <c r="C55" t="s">
        <v>2916</v>
      </c>
      <c r="D55" t="s">
        <v>2933</v>
      </c>
      <c r="E55" t="s">
        <v>2934</v>
      </c>
      <c r="F55" t="s">
        <v>2830</v>
      </c>
      <c r="G55" t="s">
        <v>1732</v>
      </c>
    </row>
    <row r="56" spans="1:7" ht="11.25" customHeight="1">
      <c r="A56" s="310" t="s">
        <v>16</v>
      </c>
      <c r="B56" t="s">
        <v>2915</v>
      </c>
      <c r="C56" t="s">
        <v>2916</v>
      </c>
      <c r="D56" t="s">
        <v>2935</v>
      </c>
      <c r="E56" t="s">
        <v>2936</v>
      </c>
      <c r="F56" t="s">
        <v>2830</v>
      </c>
      <c r="G56" t="s">
        <v>1735</v>
      </c>
    </row>
    <row r="57" spans="1:7" ht="11.25" customHeight="1">
      <c r="A57" s="310" t="s">
        <v>16</v>
      </c>
      <c r="B57" t="s">
        <v>2915</v>
      </c>
      <c r="C57" t="s">
        <v>2916</v>
      </c>
      <c r="D57" t="s">
        <v>2937</v>
      </c>
      <c r="E57" t="s">
        <v>2938</v>
      </c>
      <c r="F57" t="s">
        <v>2830</v>
      </c>
      <c r="G57" t="s">
        <v>1738</v>
      </c>
    </row>
    <row r="58" spans="1:7" ht="11.25" customHeight="1">
      <c r="A58" s="310" t="s">
        <v>16</v>
      </c>
      <c r="B58" t="s">
        <v>2915</v>
      </c>
      <c r="C58" t="s">
        <v>2916</v>
      </c>
      <c r="D58" t="s">
        <v>2939</v>
      </c>
      <c r="E58" t="s">
        <v>2940</v>
      </c>
      <c r="F58" t="s">
        <v>2830</v>
      </c>
      <c r="G58" t="s">
        <v>1741</v>
      </c>
    </row>
    <row r="59" spans="1:7" ht="11.25" customHeight="1">
      <c r="A59" s="310" t="s">
        <v>16</v>
      </c>
      <c r="B59" t="s">
        <v>2915</v>
      </c>
      <c r="C59" t="s">
        <v>2916</v>
      </c>
      <c r="D59" t="s">
        <v>2941</v>
      </c>
      <c r="E59" t="s">
        <v>2942</v>
      </c>
      <c r="F59" t="s">
        <v>2830</v>
      </c>
      <c r="G59" t="s">
        <v>1745</v>
      </c>
    </row>
    <row r="60" spans="1:7" ht="11.25" customHeight="1">
      <c r="A60" s="310" t="s">
        <v>16</v>
      </c>
      <c r="B60" t="s">
        <v>2915</v>
      </c>
      <c r="C60" t="s">
        <v>2916</v>
      </c>
      <c r="D60" t="s">
        <v>2943</v>
      </c>
      <c r="E60" t="s">
        <v>2944</v>
      </c>
      <c r="F60" t="s">
        <v>2830</v>
      </c>
      <c r="G60" t="s">
        <v>1749</v>
      </c>
    </row>
    <row r="61" spans="1:7" ht="11.25" customHeight="1">
      <c r="A61" s="310" t="s">
        <v>16</v>
      </c>
      <c r="B61" t="s">
        <v>2915</v>
      </c>
      <c r="C61" t="s">
        <v>2916</v>
      </c>
      <c r="D61" t="s">
        <v>2945</v>
      </c>
      <c r="E61" t="s">
        <v>2946</v>
      </c>
      <c r="F61" t="s">
        <v>2830</v>
      </c>
      <c r="G61" t="s">
        <v>2947</v>
      </c>
    </row>
    <row r="62" spans="1:7" ht="11.25" customHeight="1">
      <c r="A62" s="310" t="s">
        <v>16</v>
      </c>
      <c r="B62" t="s">
        <v>2915</v>
      </c>
      <c r="C62" t="s">
        <v>2916</v>
      </c>
      <c r="D62" t="s">
        <v>2948</v>
      </c>
      <c r="E62" t="s">
        <v>2949</v>
      </c>
      <c r="F62" t="s">
        <v>2830</v>
      </c>
      <c r="G62" t="s">
        <v>2950</v>
      </c>
    </row>
    <row r="63" spans="1:7" ht="11.25" customHeight="1">
      <c r="A63" s="310" t="s">
        <v>16</v>
      </c>
      <c r="B63" t="s">
        <v>2915</v>
      </c>
      <c r="C63" t="s">
        <v>2916</v>
      </c>
      <c r="D63" t="s">
        <v>2951</v>
      </c>
      <c r="E63" t="s">
        <v>2952</v>
      </c>
      <c r="F63" t="s">
        <v>2830</v>
      </c>
      <c r="G63" t="s">
        <v>2953</v>
      </c>
    </row>
    <row r="64" spans="1:7" ht="11.25" customHeight="1">
      <c r="A64" s="310" t="s">
        <v>16</v>
      </c>
      <c r="B64" t="s">
        <v>2915</v>
      </c>
      <c r="C64" t="s">
        <v>2916</v>
      </c>
      <c r="D64" t="s">
        <v>2954</v>
      </c>
      <c r="E64" t="s">
        <v>2955</v>
      </c>
      <c r="F64" t="s">
        <v>2830</v>
      </c>
      <c r="G64" t="s">
        <v>2956</v>
      </c>
    </row>
    <row r="65" spans="1:7" ht="11.25" customHeight="1">
      <c r="A65" s="310" t="s">
        <v>16</v>
      </c>
      <c r="B65" t="s">
        <v>2915</v>
      </c>
      <c r="C65" t="s">
        <v>2916</v>
      </c>
      <c r="D65" t="s">
        <v>2957</v>
      </c>
      <c r="E65" t="s">
        <v>2958</v>
      </c>
      <c r="F65" t="s">
        <v>2830</v>
      </c>
      <c r="G65" t="s">
        <v>2959</v>
      </c>
    </row>
    <row r="66" spans="1:7" ht="11.25" customHeight="1">
      <c r="A66" s="310" t="s">
        <v>16</v>
      </c>
      <c r="B66" t="s">
        <v>2960</v>
      </c>
      <c r="C66" t="s">
        <v>2961</v>
      </c>
      <c r="D66" t="s">
        <v>2962</v>
      </c>
      <c r="E66" t="s">
        <v>2963</v>
      </c>
      <c r="F66" t="s">
        <v>2830</v>
      </c>
      <c r="G66" t="s">
        <v>2964</v>
      </c>
    </row>
    <row r="67" spans="1:7" ht="11.25" customHeight="1">
      <c r="A67" s="310" t="s">
        <v>16</v>
      </c>
      <c r="B67" t="s">
        <v>2960</v>
      </c>
      <c r="C67" t="s">
        <v>2961</v>
      </c>
      <c r="D67" t="s">
        <v>2965</v>
      </c>
      <c r="E67" t="s">
        <v>2966</v>
      </c>
      <c r="F67" t="s">
        <v>2830</v>
      </c>
      <c r="G67" t="s">
        <v>2067</v>
      </c>
    </row>
    <row r="68" spans="1:7" ht="11.25" customHeight="1">
      <c r="A68" s="310" t="s">
        <v>16</v>
      </c>
      <c r="B68" t="s">
        <v>2960</v>
      </c>
      <c r="C68" t="s">
        <v>2961</v>
      </c>
      <c r="D68" t="s">
        <v>2960</v>
      </c>
      <c r="E68" t="s">
        <v>2961</v>
      </c>
      <c r="F68" t="s">
        <v>2827</v>
      </c>
      <c r="G68" t="s">
        <v>2967</v>
      </c>
    </row>
    <row r="69" spans="1:7" ht="11.25" customHeight="1">
      <c r="A69" s="310" t="s">
        <v>16</v>
      </c>
      <c r="B69" t="s">
        <v>2960</v>
      </c>
      <c r="C69" t="s">
        <v>2961</v>
      </c>
      <c r="D69" t="s">
        <v>2968</v>
      </c>
      <c r="E69" t="s">
        <v>2969</v>
      </c>
      <c r="F69" t="s">
        <v>2830</v>
      </c>
      <c r="G69" t="s">
        <v>2270</v>
      </c>
    </row>
    <row r="70" spans="1:7" ht="11.25" customHeight="1">
      <c r="A70" s="310" t="s">
        <v>16</v>
      </c>
      <c r="B70" t="s">
        <v>2960</v>
      </c>
      <c r="C70" t="s">
        <v>2961</v>
      </c>
      <c r="D70" t="s">
        <v>2970</v>
      </c>
      <c r="E70" t="s">
        <v>2971</v>
      </c>
      <c r="F70" t="s">
        <v>2830</v>
      </c>
      <c r="G70" t="s">
        <v>2972</v>
      </c>
    </row>
    <row r="71" spans="1:7" ht="11.25" customHeight="1">
      <c r="A71" s="310" t="s">
        <v>16</v>
      </c>
      <c r="B71" t="s">
        <v>2960</v>
      </c>
      <c r="C71" t="s">
        <v>2961</v>
      </c>
      <c r="D71" t="s">
        <v>2973</v>
      </c>
      <c r="E71" t="s">
        <v>2974</v>
      </c>
      <c r="F71" t="s">
        <v>2830</v>
      </c>
      <c r="G71" t="s">
        <v>2975</v>
      </c>
    </row>
    <row r="72" spans="1:7" ht="11.25" customHeight="1">
      <c r="A72" s="310" t="s">
        <v>16</v>
      </c>
      <c r="B72" t="s">
        <v>2960</v>
      </c>
      <c r="C72" t="s">
        <v>2961</v>
      </c>
      <c r="D72" t="s">
        <v>2976</v>
      </c>
      <c r="E72" t="s">
        <v>2977</v>
      </c>
      <c r="F72" t="s">
        <v>2830</v>
      </c>
      <c r="G72" t="s">
        <v>2978</v>
      </c>
    </row>
    <row r="73" spans="1:7" ht="11.25" customHeight="1">
      <c r="A73" s="310" t="s">
        <v>16</v>
      </c>
      <c r="B73" t="s">
        <v>2960</v>
      </c>
      <c r="C73" t="s">
        <v>2961</v>
      </c>
      <c r="D73" t="s">
        <v>2979</v>
      </c>
      <c r="E73" t="s">
        <v>2980</v>
      </c>
      <c r="F73" t="s">
        <v>2830</v>
      </c>
      <c r="G73" t="s">
        <v>2981</v>
      </c>
    </row>
    <row r="74" spans="1:7" ht="11.25" customHeight="1">
      <c r="A74" s="310" t="s">
        <v>16</v>
      </c>
      <c r="B74" t="s">
        <v>2960</v>
      </c>
      <c r="C74" t="s">
        <v>2961</v>
      </c>
      <c r="D74" t="s">
        <v>2982</v>
      </c>
      <c r="E74" t="s">
        <v>2983</v>
      </c>
      <c r="F74" t="s">
        <v>2830</v>
      </c>
      <c r="G74" t="s">
        <v>2984</v>
      </c>
    </row>
    <row r="75" spans="1:7" ht="11.25" customHeight="1">
      <c r="A75" s="310" t="s">
        <v>16</v>
      </c>
      <c r="B75" t="s">
        <v>2960</v>
      </c>
      <c r="C75" t="s">
        <v>2961</v>
      </c>
      <c r="D75" t="s">
        <v>2985</v>
      </c>
      <c r="E75" t="s">
        <v>2986</v>
      </c>
      <c r="F75" t="s">
        <v>2830</v>
      </c>
      <c r="G75" t="s">
        <v>2987</v>
      </c>
    </row>
    <row r="76" spans="1:7" ht="11.25" customHeight="1">
      <c r="A76" s="310" t="s">
        <v>16</v>
      </c>
      <c r="B76" t="s">
        <v>2960</v>
      </c>
      <c r="C76" t="s">
        <v>2961</v>
      </c>
      <c r="D76" t="s">
        <v>2988</v>
      </c>
      <c r="E76" t="s">
        <v>2989</v>
      </c>
      <c r="F76" t="s">
        <v>2830</v>
      </c>
      <c r="G76" t="s">
        <v>2990</v>
      </c>
    </row>
    <row r="77" spans="1:7" ht="11.25" customHeight="1">
      <c r="A77" s="310" t="s">
        <v>16</v>
      </c>
      <c r="B77" t="s">
        <v>2960</v>
      </c>
      <c r="C77" t="s">
        <v>2961</v>
      </c>
      <c r="D77" t="s">
        <v>2991</v>
      </c>
      <c r="E77" t="s">
        <v>2992</v>
      </c>
      <c r="F77" t="s">
        <v>2830</v>
      </c>
      <c r="G77" t="s">
        <v>2993</v>
      </c>
    </row>
    <row r="78" spans="1:7" ht="11.25" customHeight="1">
      <c r="A78" s="310" t="s">
        <v>16</v>
      </c>
      <c r="B78" t="s">
        <v>2960</v>
      </c>
      <c r="C78" t="s">
        <v>2961</v>
      </c>
      <c r="D78" t="s">
        <v>2994</v>
      </c>
      <c r="E78" t="s">
        <v>2995</v>
      </c>
      <c r="F78" t="s">
        <v>2830</v>
      </c>
      <c r="G78" t="s">
        <v>2996</v>
      </c>
    </row>
    <row r="79" spans="1:7" ht="11.25" customHeight="1">
      <c r="A79" s="310" t="s">
        <v>16</v>
      </c>
      <c r="B79" t="s">
        <v>2960</v>
      </c>
      <c r="C79" t="s">
        <v>2961</v>
      </c>
      <c r="D79" t="s">
        <v>2997</v>
      </c>
      <c r="E79" t="s">
        <v>2998</v>
      </c>
      <c r="F79" t="s">
        <v>2830</v>
      </c>
      <c r="G79" t="s">
        <v>2999</v>
      </c>
    </row>
    <row r="80" spans="1:7" ht="11.25" customHeight="1">
      <c r="A80" s="310" t="s">
        <v>16</v>
      </c>
      <c r="B80" t="s">
        <v>2960</v>
      </c>
      <c r="C80" t="s">
        <v>2961</v>
      </c>
      <c r="D80" t="s">
        <v>3000</v>
      </c>
      <c r="E80" t="s">
        <v>3001</v>
      </c>
      <c r="F80" t="s">
        <v>2830</v>
      </c>
      <c r="G80" t="s">
        <v>3002</v>
      </c>
    </row>
    <row r="81" spans="1:7" ht="11.25" customHeight="1">
      <c r="A81" s="310" t="s">
        <v>16</v>
      </c>
      <c r="B81" t="s">
        <v>3003</v>
      </c>
      <c r="C81" t="s">
        <v>3004</v>
      </c>
      <c r="D81" t="s">
        <v>3003</v>
      </c>
      <c r="E81" t="s">
        <v>3004</v>
      </c>
      <c r="F81" t="s">
        <v>3005</v>
      </c>
      <c r="G81" t="s">
        <v>3006</v>
      </c>
    </row>
    <row r="82" spans="1:7" ht="11.25" customHeight="1">
      <c r="A82" s="310" t="s">
        <v>16</v>
      </c>
      <c r="B82" t="s">
        <v>3007</v>
      </c>
      <c r="C82" t="s">
        <v>3008</v>
      </c>
      <c r="D82" t="s">
        <v>3007</v>
      </c>
      <c r="E82" t="s">
        <v>3008</v>
      </c>
      <c r="F82" t="s">
        <v>3005</v>
      </c>
      <c r="G82" t="s">
        <v>3009</v>
      </c>
    </row>
    <row r="83" spans="1:7" ht="11.25" customHeight="1">
      <c r="A83" s="310" t="s">
        <v>16</v>
      </c>
      <c r="B83" t="s">
        <v>3010</v>
      </c>
      <c r="C83" t="s">
        <v>3011</v>
      </c>
      <c r="D83" t="s">
        <v>3012</v>
      </c>
      <c r="E83" t="s">
        <v>3013</v>
      </c>
      <c r="F83" t="s">
        <v>2830</v>
      </c>
      <c r="G83" t="s">
        <v>3014</v>
      </c>
    </row>
    <row r="84" spans="1:7" ht="11.25" customHeight="1">
      <c r="A84" s="310" t="s">
        <v>16</v>
      </c>
      <c r="B84" t="s">
        <v>3010</v>
      </c>
      <c r="C84" t="s">
        <v>3011</v>
      </c>
      <c r="D84" t="s">
        <v>3015</v>
      </c>
      <c r="E84" t="s">
        <v>3016</v>
      </c>
      <c r="F84" t="s">
        <v>2830</v>
      </c>
      <c r="G84" t="s">
        <v>3017</v>
      </c>
    </row>
    <row r="85" spans="1:7" ht="11.25" customHeight="1">
      <c r="A85" s="310" t="s">
        <v>16</v>
      </c>
      <c r="B85" t="s">
        <v>3010</v>
      </c>
      <c r="C85" t="s">
        <v>3011</v>
      </c>
      <c r="D85" t="s">
        <v>3018</v>
      </c>
      <c r="E85" t="s">
        <v>3019</v>
      </c>
      <c r="F85" t="s">
        <v>2830</v>
      </c>
      <c r="G85" t="s">
        <v>3020</v>
      </c>
    </row>
    <row r="86" spans="1:7" ht="11.25" customHeight="1">
      <c r="A86" s="310" t="s">
        <v>16</v>
      </c>
      <c r="B86" t="s">
        <v>3010</v>
      </c>
      <c r="C86" t="s">
        <v>3011</v>
      </c>
      <c r="D86" t="s">
        <v>3021</v>
      </c>
      <c r="E86" t="s">
        <v>3022</v>
      </c>
      <c r="F86" t="s">
        <v>2830</v>
      </c>
      <c r="G86" t="s">
        <v>3023</v>
      </c>
    </row>
    <row r="87" spans="1:7" ht="11.25" customHeight="1">
      <c r="A87" s="310" t="s">
        <v>16</v>
      </c>
      <c r="B87" t="s">
        <v>3010</v>
      </c>
      <c r="C87" t="s">
        <v>3011</v>
      </c>
      <c r="D87" t="s">
        <v>3024</v>
      </c>
      <c r="E87" t="s">
        <v>3025</v>
      </c>
      <c r="F87" t="s">
        <v>2830</v>
      </c>
      <c r="G87" t="s">
        <v>3026</v>
      </c>
    </row>
    <row r="88" spans="1:7" ht="11.25" customHeight="1">
      <c r="A88" s="310" t="s">
        <v>16</v>
      </c>
      <c r="B88" t="s">
        <v>3010</v>
      </c>
      <c r="C88" t="s">
        <v>3011</v>
      </c>
      <c r="D88" t="s">
        <v>3027</v>
      </c>
      <c r="E88" t="s">
        <v>3028</v>
      </c>
      <c r="F88" t="s">
        <v>2830</v>
      </c>
      <c r="G88" t="s">
        <v>3029</v>
      </c>
    </row>
    <row r="89" spans="1:7" ht="11.25" customHeight="1">
      <c r="A89" s="310" t="s">
        <v>16</v>
      </c>
      <c r="B89" t="s">
        <v>3010</v>
      </c>
      <c r="C89" t="s">
        <v>3011</v>
      </c>
      <c r="D89" t="s">
        <v>3010</v>
      </c>
      <c r="E89" t="s">
        <v>3011</v>
      </c>
      <c r="F89" t="s">
        <v>2827</v>
      </c>
      <c r="G89" t="s">
        <v>3030</v>
      </c>
    </row>
    <row r="90" spans="1:7" ht="11.25" customHeight="1">
      <c r="A90" s="310" t="s">
        <v>16</v>
      </c>
      <c r="B90" t="s">
        <v>3010</v>
      </c>
      <c r="C90" t="s">
        <v>3011</v>
      </c>
      <c r="D90" t="s">
        <v>3031</v>
      </c>
      <c r="E90" t="s">
        <v>3032</v>
      </c>
      <c r="F90" t="s">
        <v>2830</v>
      </c>
      <c r="G90" t="s">
        <v>3033</v>
      </c>
    </row>
    <row r="91" spans="1:7" ht="11.25" customHeight="1">
      <c r="A91" s="310" t="s">
        <v>16</v>
      </c>
      <c r="B91" t="s">
        <v>3010</v>
      </c>
      <c r="C91" t="s">
        <v>3011</v>
      </c>
      <c r="D91" t="s">
        <v>3034</v>
      </c>
      <c r="E91" t="s">
        <v>3035</v>
      </c>
      <c r="F91" t="s">
        <v>2830</v>
      </c>
      <c r="G91" t="s">
        <v>3036</v>
      </c>
    </row>
    <row r="92" spans="1:7" ht="11.25" customHeight="1">
      <c r="A92" s="310" t="s">
        <v>16</v>
      </c>
      <c r="B92" t="s">
        <v>3010</v>
      </c>
      <c r="C92" t="s">
        <v>3011</v>
      </c>
      <c r="D92" t="s">
        <v>3037</v>
      </c>
      <c r="E92" t="s">
        <v>3038</v>
      </c>
      <c r="F92" t="s">
        <v>2830</v>
      </c>
      <c r="G92" t="s">
        <v>3039</v>
      </c>
    </row>
    <row r="93" spans="1:7" ht="11.25" customHeight="1">
      <c r="A93" s="310" t="s">
        <v>16</v>
      </c>
      <c r="B93" t="s">
        <v>3010</v>
      </c>
      <c r="C93" t="s">
        <v>3011</v>
      </c>
      <c r="D93" t="s">
        <v>3040</v>
      </c>
      <c r="E93" t="s">
        <v>3041</v>
      </c>
      <c r="F93" t="s">
        <v>2830</v>
      </c>
      <c r="G93" t="s">
        <v>3042</v>
      </c>
    </row>
    <row r="94" spans="1:7" ht="11.25" customHeight="1">
      <c r="A94" s="310" t="s">
        <v>16</v>
      </c>
      <c r="B94" t="s">
        <v>3010</v>
      </c>
      <c r="C94" t="s">
        <v>3011</v>
      </c>
      <c r="D94" t="s">
        <v>3043</v>
      </c>
      <c r="E94" t="s">
        <v>3044</v>
      </c>
      <c r="F94" t="s">
        <v>2830</v>
      </c>
      <c r="G94" t="s">
        <v>3045</v>
      </c>
    </row>
    <row r="95" spans="1:7" ht="11.25" customHeight="1">
      <c r="A95" s="310" t="s">
        <v>16</v>
      </c>
      <c r="B95" t="s">
        <v>3010</v>
      </c>
      <c r="C95" t="s">
        <v>3011</v>
      </c>
      <c r="D95" t="s">
        <v>3046</v>
      </c>
      <c r="E95" t="s">
        <v>3047</v>
      </c>
      <c r="F95" t="s">
        <v>2830</v>
      </c>
      <c r="G95" t="s">
        <v>3048</v>
      </c>
    </row>
    <row r="96" spans="1:7" ht="11.25" customHeight="1">
      <c r="A96" s="310" t="s">
        <v>16</v>
      </c>
      <c r="B96" t="s">
        <v>3010</v>
      </c>
      <c r="C96" t="s">
        <v>3011</v>
      </c>
      <c r="D96" t="s">
        <v>3049</v>
      </c>
      <c r="E96" t="s">
        <v>3050</v>
      </c>
      <c r="F96" t="s">
        <v>2830</v>
      </c>
      <c r="G96" t="s">
        <v>3051</v>
      </c>
    </row>
    <row r="97" spans="1:7" ht="11.25" customHeight="1">
      <c r="A97" s="310" t="s">
        <v>16</v>
      </c>
      <c r="B97" t="s">
        <v>3010</v>
      </c>
      <c r="C97" t="s">
        <v>3011</v>
      </c>
      <c r="D97" t="s">
        <v>3052</v>
      </c>
      <c r="E97" t="s">
        <v>3053</v>
      </c>
      <c r="F97" t="s">
        <v>2830</v>
      </c>
      <c r="G97" t="s">
        <v>3054</v>
      </c>
    </row>
    <row r="98" spans="1:7" ht="11.25" customHeight="1">
      <c r="A98" s="310" t="s">
        <v>16</v>
      </c>
      <c r="B98" t="s">
        <v>3010</v>
      </c>
      <c r="C98" t="s">
        <v>3011</v>
      </c>
      <c r="D98" t="s">
        <v>3055</v>
      </c>
      <c r="E98" t="s">
        <v>3056</v>
      </c>
      <c r="F98" t="s">
        <v>2830</v>
      </c>
      <c r="G98" t="s">
        <v>3057</v>
      </c>
    </row>
    <row r="99" spans="1:7" ht="11.25" customHeight="1">
      <c r="A99" s="310" t="s">
        <v>16</v>
      </c>
      <c r="B99" t="s">
        <v>3010</v>
      </c>
      <c r="C99" t="s">
        <v>3011</v>
      </c>
      <c r="D99" t="s">
        <v>3058</v>
      </c>
      <c r="E99" t="s">
        <v>3059</v>
      </c>
      <c r="F99" t="s">
        <v>2830</v>
      </c>
      <c r="G99" t="s">
        <v>3060</v>
      </c>
    </row>
    <row r="100" spans="1:7" ht="11.25" customHeight="1">
      <c r="A100" s="310" t="s">
        <v>16</v>
      </c>
      <c r="B100" t="s">
        <v>3061</v>
      </c>
      <c r="C100" t="s">
        <v>3062</v>
      </c>
      <c r="D100" t="s">
        <v>3063</v>
      </c>
      <c r="E100" t="s">
        <v>3064</v>
      </c>
      <c r="F100" t="s">
        <v>2830</v>
      </c>
      <c r="G100" t="s">
        <v>3065</v>
      </c>
    </row>
    <row r="101" spans="1:7" ht="11.25" customHeight="1">
      <c r="A101" s="310" t="s">
        <v>16</v>
      </c>
      <c r="B101" t="s">
        <v>3061</v>
      </c>
      <c r="C101" t="s">
        <v>3062</v>
      </c>
      <c r="D101" t="s">
        <v>3066</v>
      </c>
      <c r="E101" t="s">
        <v>3067</v>
      </c>
      <c r="F101" t="s">
        <v>2830</v>
      </c>
      <c r="G101" t="s">
        <v>3068</v>
      </c>
    </row>
    <row r="102" spans="1:7" ht="11.25" customHeight="1">
      <c r="A102" s="310" t="s">
        <v>16</v>
      </c>
      <c r="B102" t="s">
        <v>3061</v>
      </c>
      <c r="C102" t="s">
        <v>3062</v>
      </c>
      <c r="D102" t="s">
        <v>3069</v>
      </c>
      <c r="E102" t="s">
        <v>3070</v>
      </c>
      <c r="F102" t="s">
        <v>2830</v>
      </c>
      <c r="G102" t="s">
        <v>3071</v>
      </c>
    </row>
    <row r="103" spans="1:7" ht="11.25" customHeight="1">
      <c r="A103" s="310" t="s">
        <v>16</v>
      </c>
      <c r="B103" t="s">
        <v>3061</v>
      </c>
      <c r="C103" t="s">
        <v>3062</v>
      </c>
      <c r="D103" t="s">
        <v>3072</v>
      </c>
      <c r="E103" t="s">
        <v>3073</v>
      </c>
      <c r="F103" t="s">
        <v>2830</v>
      </c>
      <c r="G103" t="s">
        <v>3074</v>
      </c>
    </row>
    <row r="104" spans="1:7" ht="11.25" customHeight="1">
      <c r="A104" s="310" t="s">
        <v>16</v>
      </c>
      <c r="B104" t="s">
        <v>3061</v>
      </c>
      <c r="C104" t="s">
        <v>3062</v>
      </c>
      <c r="D104" t="s">
        <v>3075</v>
      </c>
      <c r="E104" t="s">
        <v>3076</v>
      </c>
      <c r="F104" t="s">
        <v>2830</v>
      </c>
      <c r="G104" t="s">
        <v>3077</v>
      </c>
    </row>
    <row r="105" spans="1:7" ht="11.25" customHeight="1">
      <c r="A105" s="310" t="s">
        <v>16</v>
      </c>
      <c r="B105" t="s">
        <v>3061</v>
      </c>
      <c r="C105" t="s">
        <v>3062</v>
      </c>
      <c r="D105" t="s">
        <v>3078</v>
      </c>
      <c r="E105" t="s">
        <v>3079</v>
      </c>
      <c r="F105" t="s">
        <v>2830</v>
      </c>
      <c r="G105" t="s">
        <v>3080</v>
      </c>
    </row>
    <row r="106" spans="1:7" ht="11.25" customHeight="1">
      <c r="A106" s="310" t="s">
        <v>16</v>
      </c>
      <c r="B106" t="s">
        <v>3061</v>
      </c>
      <c r="C106" t="s">
        <v>3062</v>
      </c>
      <c r="D106" t="s">
        <v>3061</v>
      </c>
      <c r="E106" t="s">
        <v>3062</v>
      </c>
      <c r="F106" t="s">
        <v>2827</v>
      </c>
      <c r="G106" t="s">
        <v>3081</v>
      </c>
    </row>
    <row r="107" spans="1:7" ht="11.25" customHeight="1">
      <c r="A107" s="310" t="s">
        <v>16</v>
      </c>
      <c r="B107" t="s">
        <v>3061</v>
      </c>
      <c r="C107" t="s">
        <v>3062</v>
      </c>
      <c r="D107" t="s">
        <v>3082</v>
      </c>
      <c r="E107" t="s">
        <v>3083</v>
      </c>
      <c r="F107" t="s">
        <v>2830</v>
      </c>
      <c r="G107" t="s">
        <v>3084</v>
      </c>
    </row>
    <row r="108" spans="1:7" ht="11.25" customHeight="1">
      <c r="A108" s="310" t="s">
        <v>16</v>
      </c>
      <c r="B108" t="s">
        <v>3061</v>
      </c>
      <c r="C108" t="s">
        <v>3062</v>
      </c>
      <c r="D108" t="s">
        <v>3085</v>
      </c>
      <c r="E108" t="s">
        <v>3086</v>
      </c>
      <c r="F108" t="s">
        <v>2830</v>
      </c>
      <c r="G108" t="s">
        <v>3087</v>
      </c>
    </row>
    <row r="109" spans="1:7" ht="11.25" customHeight="1">
      <c r="A109" s="310" t="s">
        <v>16</v>
      </c>
      <c r="B109" t="s">
        <v>3061</v>
      </c>
      <c r="C109" t="s">
        <v>3062</v>
      </c>
      <c r="D109" t="s">
        <v>3088</v>
      </c>
      <c r="E109" t="s">
        <v>3089</v>
      </c>
      <c r="F109" t="s">
        <v>2830</v>
      </c>
      <c r="G109" t="s">
        <v>3090</v>
      </c>
    </row>
    <row r="110" spans="1:7" ht="11.25" customHeight="1">
      <c r="A110" s="310" t="s">
        <v>16</v>
      </c>
      <c r="B110" t="s">
        <v>3061</v>
      </c>
      <c r="C110" t="s">
        <v>3062</v>
      </c>
      <c r="D110" t="s">
        <v>3091</v>
      </c>
      <c r="E110" t="s">
        <v>3092</v>
      </c>
      <c r="F110" t="s">
        <v>2830</v>
      </c>
      <c r="G110" t="s">
        <v>3093</v>
      </c>
    </row>
    <row r="111" spans="1:7" ht="11.25" customHeight="1">
      <c r="A111" s="310" t="s">
        <v>16</v>
      </c>
      <c r="B111" t="s">
        <v>3061</v>
      </c>
      <c r="C111" t="s">
        <v>3062</v>
      </c>
      <c r="D111" t="s">
        <v>3094</v>
      </c>
      <c r="E111" t="s">
        <v>3095</v>
      </c>
      <c r="F111" t="s">
        <v>2830</v>
      </c>
      <c r="G111" t="s">
        <v>3096</v>
      </c>
    </row>
    <row r="112" spans="1:7" ht="11.25" customHeight="1">
      <c r="A112" s="310" t="s">
        <v>16</v>
      </c>
      <c r="B112" t="s">
        <v>3061</v>
      </c>
      <c r="C112" t="s">
        <v>3062</v>
      </c>
      <c r="D112" t="s">
        <v>3097</v>
      </c>
      <c r="E112" t="s">
        <v>3098</v>
      </c>
      <c r="F112" t="s">
        <v>2830</v>
      </c>
      <c r="G112" t="s">
        <v>3099</v>
      </c>
    </row>
    <row r="113" spans="1:7" ht="11.25" customHeight="1">
      <c r="A113" s="310" t="s">
        <v>16</v>
      </c>
      <c r="B113" t="s">
        <v>3061</v>
      </c>
      <c r="C113" t="s">
        <v>3062</v>
      </c>
      <c r="D113" t="s">
        <v>3100</v>
      </c>
      <c r="E113" t="s">
        <v>3101</v>
      </c>
      <c r="F113" t="s">
        <v>2830</v>
      </c>
      <c r="G113" t="s">
        <v>3102</v>
      </c>
    </row>
    <row r="114" spans="1:7" ht="11.25" customHeight="1">
      <c r="A114" s="310" t="s">
        <v>16</v>
      </c>
      <c r="B114" t="s">
        <v>3061</v>
      </c>
      <c r="C114" t="s">
        <v>3062</v>
      </c>
      <c r="D114" t="s">
        <v>3103</v>
      </c>
      <c r="E114" t="s">
        <v>3104</v>
      </c>
      <c r="F114" t="s">
        <v>2830</v>
      </c>
      <c r="G114" t="s">
        <v>3105</v>
      </c>
    </row>
    <row r="115" spans="1:7" ht="11.25" customHeight="1">
      <c r="A115" s="310" t="s">
        <v>16</v>
      </c>
      <c r="B115" t="s">
        <v>3061</v>
      </c>
      <c r="C115" t="s">
        <v>3062</v>
      </c>
      <c r="D115" t="s">
        <v>3106</v>
      </c>
      <c r="E115" t="s">
        <v>3107</v>
      </c>
      <c r="F115" t="s">
        <v>2830</v>
      </c>
      <c r="G115" t="s">
        <v>3108</v>
      </c>
    </row>
    <row r="116" spans="1:7" ht="11.25" customHeight="1">
      <c r="A116" s="310" t="s">
        <v>16</v>
      </c>
      <c r="B116" t="s">
        <v>3061</v>
      </c>
      <c r="C116" t="s">
        <v>3062</v>
      </c>
      <c r="D116" t="s">
        <v>3109</v>
      </c>
      <c r="E116" t="s">
        <v>3110</v>
      </c>
      <c r="F116" t="s">
        <v>2830</v>
      </c>
      <c r="G116" t="s">
        <v>3111</v>
      </c>
    </row>
    <row r="117" spans="1:7" ht="11.25" customHeight="1">
      <c r="A117" s="310" t="s">
        <v>16</v>
      </c>
      <c r="B117" t="s">
        <v>3061</v>
      </c>
      <c r="C117" t="s">
        <v>3062</v>
      </c>
      <c r="D117" t="s">
        <v>3112</v>
      </c>
      <c r="E117" t="s">
        <v>3113</v>
      </c>
      <c r="F117" t="s">
        <v>2830</v>
      </c>
      <c r="G117" t="s">
        <v>3114</v>
      </c>
    </row>
    <row r="118" spans="1:7" ht="11.25" customHeight="1">
      <c r="A118" s="310" t="s">
        <v>16</v>
      </c>
      <c r="B118" t="s">
        <v>3061</v>
      </c>
      <c r="C118" t="s">
        <v>3062</v>
      </c>
      <c r="D118" t="s">
        <v>3115</v>
      </c>
      <c r="E118" t="s">
        <v>3116</v>
      </c>
      <c r="F118" t="s">
        <v>2830</v>
      </c>
      <c r="G118" t="s">
        <v>3117</v>
      </c>
    </row>
    <row r="119" spans="1:7" ht="11.25" customHeight="1">
      <c r="A119" s="310" t="s">
        <v>16</v>
      </c>
      <c r="B119" t="s">
        <v>3061</v>
      </c>
      <c r="C119" t="s">
        <v>3062</v>
      </c>
      <c r="D119" t="s">
        <v>3118</v>
      </c>
      <c r="E119" t="s">
        <v>3119</v>
      </c>
      <c r="F119" t="s">
        <v>2830</v>
      </c>
      <c r="G119" t="s">
        <v>3120</v>
      </c>
    </row>
    <row r="120" spans="1:7" ht="11.25" customHeight="1">
      <c r="A120" s="310" t="s">
        <v>16</v>
      </c>
      <c r="B120" t="s">
        <v>3061</v>
      </c>
      <c r="C120" t="s">
        <v>3062</v>
      </c>
      <c r="D120" t="s">
        <v>3121</v>
      </c>
      <c r="E120" t="s">
        <v>3122</v>
      </c>
      <c r="F120" t="s">
        <v>2830</v>
      </c>
      <c r="G120" t="s">
        <v>3123</v>
      </c>
    </row>
    <row r="121" spans="1:7" ht="11.25" customHeight="1">
      <c r="A121" s="310" t="s">
        <v>16</v>
      </c>
      <c r="B121" t="s">
        <v>3061</v>
      </c>
      <c r="C121" t="s">
        <v>3062</v>
      </c>
      <c r="D121" t="s">
        <v>3124</v>
      </c>
      <c r="E121" t="s">
        <v>3125</v>
      </c>
      <c r="F121" t="s">
        <v>2830</v>
      </c>
      <c r="G121" t="s">
        <v>3126</v>
      </c>
    </row>
    <row r="122" spans="1:7" ht="11.25" customHeight="1">
      <c r="A122" s="310" t="s">
        <v>16</v>
      </c>
      <c r="B122" t="s">
        <v>3061</v>
      </c>
      <c r="C122" t="s">
        <v>3062</v>
      </c>
      <c r="D122" t="s">
        <v>3127</v>
      </c>
      <c r="E122" t="s">
        <v>3128</v>
      </c>
      <c r="F122" t="s">
        <v>2830</v>
      </c>
      <c r="G122" t="s">
        <v>3129</v>
      </c>
    </row>
    <row r="123" spans="1:7" ht="11.25" customHeight="1">
      <c r="A123" s="310" t="s">
        <v>16</v>
      </c>
      <c r="B123" t="s">
        <v>3130</v>
      </c>
      <c r="C123" t="s">
        <v>3131</v>
      </c>
      <c r="D123" t="s">
        <v>3132</v>
      </c>
      <c r="E123" t="s">
        <v>3133</v>
      </c>
      <c r="F123" t="s">
        <v>2830</v>
      </c>
      <c r="G123" t="s">
        <v>3134</v>
      </c>
    </row>
    <row r="124" spans="1:7" ht="11.25" customHeight="1">
      <c r="A124" s="310" t="s">
        <v>16</v>
      </c>
      <c r="B124" t="s">
        <v>3130</v>
      </c>
      <c r="C124" t="s">
        <v>3131</v>
      </c>
      <c r="D124" t="s">
        <v>3135</v>
      </c>
      <c r="E124" t="s">
        <v>3136</v>
      </c>
      <c r="F124" t="s">
        <v>2830</v>
      </c>
      <c r="G124" t="s">
        <v>3137</v>
      </c>
    </row>
    <row r="125" spans="1:7" ht="11.25" customHeight="1">
      <c r="A125" s="310" t="s">
        <v>16</v>
      </c>
      <c r="B125" t="s">
        <v>3130</v>
      </c>
      <c r="C125" t="s">
        <v>3131</v>
      </c>
      <c r="D125" t="s">
        <v>3138</v>
      </c>
      <c r="E125" t="s">
        <v>3139</v>
      </c>
      <c r="F125" t="s">
        <v>2830</v>
      </c>
      <c r="G125" t="s">
        <v>3140</v>
      </c>
    </row>
    <row r="126" spans="1:7" ht="11.25" customHeight="1">
      <c r="A126" s="310" t="s">
        <v>16</v>
      </c>
      <c r="B126" t="s">
        <v>3130</v>
      </c>
      <c r="C126" t="s">
        <v>3131</v>
      </c>
      <c r="D126" t="s">
        <v>3141</v>
      </c>
      <c r="E126" t="s">
        <v>3142</v>
      </c>
      <c r="F126" t="s">
        <v>2830</v>
      </c>
      <c r="G126" t="s">
        <v>3143</v>
      </c>
    </row>
    <row r="127" spans="1:7" ht="11.25" customHeight="1">
      <c r="A127" s="310" t="s">
        <v>16</v>
      </c>
      <c r="B127" t="s">
        <v>3130</v>
      </c>
      <c r="C127" t="s">
        <v>3131</v>
      </c>
      <c r="D127" t="s">
        <v>3144</v>
      </c>
      <c r="E127" t="s">
        <v>3145</v>
      </c>
      <c r="F127" t="s">
        <v>2830</v>
      </c>
      <c r="G127" t="s">
        <v>3146</v>
      </c>
    </row>
    <row r="128" spans="1:7" ht="11.25" customHeight="1">
      <c r="A128" s="310" t="s">
        <v>16</v>
      </c>
      <c r="B128" t="s">
        <v>3130</v>
      </c>
      <c r="C128" t="s">
        <v>3131</v>
      </c>
      <c r="D128" t="s">
        <v>3147</v>
      </c>
      <c r="E128" t="s">
        <v>3148</v>
      </c>
      <c r="F128" t="s">
        <v>2830</v>
      </c>
      <c r="G128" t="s">
        <v>3149</v>
      </c>
    </row>
    <row r="129" spans="1:7" ht="11.25" customHeight="1">
      <c r="A129" s="310" t="s">
        <v>16</v>
      </c>
      <c r="B129" t="s">
        <v>3130</v>
      </c>
      <c r="C129" t="s">
        <v>3131</v>
      </c>
      <c r="D129" t="s">
        <v>3130</v>
      </c>
      <c r="E129" t="s">
        <v>3131</v>
      </c>
      <c r="F129" t="s">
        <v>2827</v>
      </c>
      <c r="G129" t="s">
        <v>3150</v>
      </c>
    </row>
    <row r="130" spans="1:7" ht="11.25" customHeight="1">
      <c r="A130" s="310" t="s">
        <v>16</v>
      </c>
      <c r="B130" t="s">
        <v>3130</v>
      </c>
      <c r="C130" t="s">
        <v>3131</v>
      </c>
      <c r="D130" t="s">
        <v>2927</v>
      </c>
      <c r="E130" t="s">
        <v>3151</v>
      </c>
      <c r="F130" t="s">
        <v>2830</v>
      </c>
      <c r="G130" t="s">
        <v>3152</v>
      </c>
    </row>
    <row r="131" spans="1:7" ht="11.25" customHeight="1">
      <c r="A131" s="310" t="s">
        <v>16</v>
      </c>
      <c r="B131" t="s">
        <v>3130</v>
      </c>
      <c r="C131" t="s">
        <v>3131</v>
      </c>
      <c r="D131" t="s">
        <v>3153</v>
      </c>
      <c r="E131" t="s">
        <v>3154</v>
      </c>
      <c r="F131" t="s">
        <v>2830</v>
      </c>
      <c r="G131" t="s">
        <v>3155</v>
      </c>
    </row>
    <row r="132" spans="1:7" ht="11.25" customHeight="1">
      <c r="A132" s="310" t="s">
        <v>16</v>
      </c>
      <c r="B132" t="s">
        <v>3130</v>
      </c>
      <c r="C132" t="s">
        <v>3131</v>
      </c>
      <c r="D132" t="s">
        <v>3156</v>
      </c>
      <c r="E132" t="s">
        <v>3157</v>
      </c>
      <c r="F132" t="s">
        <v>2830</v>
      </c>
      <c r="G132" t="s">
        <v>3158</v>
      </c>
    </row>
    <row r="133" spans="1:7" ht="11.25" customHeight="1">
      <c r="A133" s="310" t="s">
        <v>16</v>
      </c>
      <c r="B133" t="s">
        <v>3130</v>
      </c>
      <c r="C133" t="s">
        <v>3131</v>
      </c>
      <c r="D133" t="s">
        <v>3159</v>
      </c>
      <c r="E133" t="s">
        <v>3160</v>
      </c>
      <c r="F133" t="s">
        <v>2830</v>
      </c>
      <c r="G133" t="s">
        <v>3161</v>
      </c>
    </row>
    <row r="134" spans="1:7" ht="11.25" customHeight="1">
      <c r="A134" s="310" t="s">
        <v>16</v>
      </c>
      <c r="B134" t="s">
        <v>3130</v>
      </c>
      <c r="C134" t="s">
        <v>3131</v>
      </c>
      <c r="D134" t="s">
        <v>3162</v>
      </c>
      <c r="E134" t="s">
        <v>3163</v>
      </c>
      <c r="F134" t="s">
        <v>2830</v>
      </c>
      <c r="G134" t="s">
        <v>3164</v>
      </c>
    </row>
    <row r="135" spans="1:7" ht="11.25" customHeight="1">
      <c r="A135" s="310" t="s">
        <v>16</v>
      </c>
      <c r="B135" t="s">
        <v>3130</v>
      </c>
      <c r="C135" t="s">
        <v>3131</v>
      </c>
      <c r="D135" t="s">
        <v>3165</v>
      </c>
      <c r="E135" t="s">
        <v>3166</v>
      </c>
      <c r="F135" t="s">
        <v>2830</v>
      </c>
      <c r="G135" t="s">
        <v>3167</v>
      </c>
    </row>
    <row r="136" spans="1:7" ht="11.25" customHeight="1">
      <c r="A136" s="310" t="s">
        <v>16</v>
      </c>
      <c r="B136" t="s">
        <v>3130</v>
      </c>
      <c r="C136" t="s">
        <v>3131</v>
      </c>
      <c r="D136" t="s">
        <v>3168</v>
      </c>
      <c r="E136" t="s">
        <v>3169</v>
      </c>
      <c r="F136" t="s">
        <v>2830</v>
      </c>
      <c r="G136" t="s">
        <v>3170</v>
      </c>
    </row>
    <row r="137" spans="1:7" ht="11.25" customHeight="1">
      <c r="A137" s="310" t="s">
        <v>16</v>
      </c>
      <c r="B137" t="s">
        <v>3171</v>
      </c>
      <c r="C137" t="s">
        <v>3172</v>
      </c>
      <c r="D137" t="s">
        <v>3173</v>
      </c>
      <c r="E137" t="s">
        <v>3174</v>
      </c>
      <c r="F137" t="s">
        <v>2830</v>
      </c>
      <c r="G137" t="s">
        <v>3175</v>
      </c>
    </row>
    <row r="138" spans="1:7" ht="11.25" customHeight="1">
      <c r="A138" s="310" t="s">
        <v>16</v>
      </c>
      <c r="B138" t="s">
        <v>3171</v>
      </c>
      <c r="C138" t="s">
        <v>3172</v>
      </c>
      <c r="D138" t="s">
        <v>3176</v>
      </c>
      <c r="E138" t="s">
        <v>3177</v>
      </c>
      <c r="F138" t="s">
        <v>2830</v>
      </c>
      <c r="G138" t="s">
        <v>3178</v>
      </c>
    </row>
    <row r="139" spans="1:7" ht="11.25" customHeight="1">
      <c r="A139" s="310" t="s">
        <v>16</v>
      </c>
      <c r="B139" t="s">
        <v>3171</v>
      </c>
      <c r="C139" t="s">
        <v>3172</v>
      </c>
      <c r="D139" t="s">
        <v>3179</v>
      </c>
      <c r="E139" t="s">
        <v>3180</v>
      </c>
      <c r="F139" t="s">
        <v>2830</v>
      </c>
      <c r="G139" t="s">
        <v>3181</v>
      </c>
    </row>
    <row r="140" spans="1:7" ht="11.25" customHeight="1">
      <c r="A140" s="310" t="s">
        <v>16</v>
      </c>
      <c r="B140" t="s">
        <v>3171</v>
      </c>
      <c r="C140" t="s">
        <v>3172</v>
      </c>
      <c r="D140" t="s">
        <v>3182</v>
      </c>
      <c r="E140" t="s">
        <v>3183</v>
      </c>
      <c r="F140" t="s">
        <v>2830</v>
      </c>
      <c r="G140" t="s">
        <v>3184</v>
      </c>
    </row>
    <row r="141" spans="1:7" ht="11.25" customHeight="1">
      <c r="A141" s="310" t="s">
        <v>16</v>
      </c>
      <c r="B141" t="s">
        <v>3171</v>
      </c>
      <c r="C141" t="s">
        <v>3172</v>
      </c>
      <c r="D141" t="s">
        <v>3185</v>
      </c>
      <c r="E141" t="s">
        <v>3186</v>
      </c>
      <c r="F141" t="s">
        <v>2830</v>
      </c>
      <c r="G141" t="s">
        <v>3187</v>
      </c>
    </row>
    <row r="142" spans="1:7" ht="11.25" customHeight="1">
      <c r="A142" s="310" t="s">
        <v>16</v>
      </c>
      <c r="B142" t="s">
        <v>3171</v>
      </c>
      <c r="C142" t="s">
        <v>3172</v>
      </c>
      <c r="D142" t="s">
        <v>3188</v>
      </c>
      <c r="E142" t="s">
        <v>3189</v>
      </c>
      <c r="F142" t="s">
        <v>2830</v>
      </c>
      <c r="G142" t="s">
        <v>3190</v>
      </c>
    </row>
    <row r="143" spans="1:7" ht="11.25" customHeight="1">
      <c r="A143" s="310" t="s">
        <v>16</v>
      </c>
      <c r="B143" t="s">
        <v>3171</v>
      </c>
      <c r="C143" t="s">
        <v>3172</v>
      </c>
      <c r="D143" t="s">
        <v>3191</v>
      </c>
      <c r="E143" t="s">
        <v>3192</v>
      </c>
      <c r="F143" t="s">
        <v>2830</v>
      </c>
      <c r="G143" t="s">
        <v>3193</v>
      </c>
    </row>
    <row r="144" spans="1:7" ht="11.25" customHeight="1">
      <c r="A144" s="310" t="s">
        <v>16</v>
      </c>
      <c r="B144" t="s">
        <v>3171</v>
      </c>
      <c r="C144" t="s">
        <v>3172</v>
      </c>
      <c r="D144" t="s">
        <v>3194</v>
      </c>
      <c r="E144" t="s">
        <v>3195</v>
      </c>
      <c r="F144" t="s">
        <v>2830</v>
      </c>
      <c r="G144" t="s">
        <v>3196</v>
      </c>
    </row>
    <row r="145" spans="1:7" ht="11.25" customHeight="1">
      <c r="A145" s="310" t="s">
        <v>16</v>
      </c>
      <c r="B145" t="s">
        <v>3171</v>
      </c>
      <c r="C145" t="s">
        <v>3172</v>
      </c>
      <c r="D145" t="s">
        <v>3197</v>
      </c>
      <c r="E145" t="s">
        <v>3198</v>
      </c>
      <c r="F145" t="s">
        <v>2830</v>
      </c>
      <c r="G145" t="s">
        <v>3199</v>
      </c>
    </row>
    <row r="146" spans="1:7" ht="11.25" customHeight="1">
      <c r="A146" s="310" t="s">
        <v>16</v>
      </c>
      <c r="B146" t="s">
        <v>3171</v>
      </c>
      <c r="C146" t="s">
        <v>3172</v>
      </c>
      <c r="D146" t="s">
        <v>3171</v>
      </c>
      <c r="E146" t="s">
        <v>3172</v>
      </c>
      <c r="F146" t="s">
        <v>2827</v>
      </c>
      <c r="G146" t="s">
        <v>3200</v>
      </c>
    </row>
    <row r="147" spans="1:7" ht="11.25" customHeight="1">
      <c r="A147" s="310" t="s">
        <v>16</v>
      </c>
      <c r="B147" t="s">
        <v>3171</v>
      </c>
      <c r="C147" t="s">
        <v>3172</v>
      </c>
      <c r="D147" t="s">
        <v>3201</v>
      </c>
      <c r="E147" t="s">
        <v>3202</v>
      </c>
      <c r="F147" t="s">
        <v>2830</v>
      </c>
      <c r="G147" t="s">
        <v>3203</v>
      </c>
    </row>
    <row r="148" spans="1:7" ht="11.25" customHeight="1">
      <c r="A148" s="310" t="s">
        <v>16</v>
      </c>
      <c r="B148" t="s">
        <v>3171</v>
      </c>
      <c r="C148" t="s">
        <v>3172</v>
      </c>
      <c r="D148" t="s">
        <v>3204</v>
      </c>
      <c r="E148" t="s">
        <v>3205</v>
      </c>
      <c r="F148" t="s">
        <v>2830</v>
      </c>
      <c r="G148" t="s">
        <v>3206</v>
      </c>
    </row>
    <row r="149" spans="1:7" ht="11.25" customHeight="1">
      <c r="A149" s="310" t="s">
        <v>16</v>
      </c>
      <c r="B149" t="s">
        <v>3171</v>
      </c>
      <c r="C149" t="s">
        <v>3172</v>
      </c>
      <c r="D149" t="s">
        <v>3207</v>
      </c>
      <c r="E149" t="s">
        <v>3208</v>
      </c>
      <c r="F149" t="s">
        <v>2830</v>
      </c>
      <c r="G149" t="s">
        <v>3209</v>
      </c>
    </row>
    <row r="150" spans="1:7" ht="11.25" customHeight="1">
      <c r="A150" s="310" t="s">
        <v>16</v>
      </c>
      <c r="B150" t="s">
        <v>3171</v>
      </c>
      <c r="C150" t="s">
        <v>3172</v>
      </c>
      <c r="D150" t="s">
        <v>3210</v>
      </c>
      <c r="E150" t="s">
        <v>3211</v>
      </c>
      <c r="F150" t="s">
        <v>2830</v>
      </c>
      <c r="G150" t="s">
        <v>3212</v>
      </c>
    </row>
    <row r="151" spans="1:7" ht="11.25" customHeight="1">
      <c r="A151" s="310" t="s">
        <v>16</v>
      </c>
      <c r="B151" t="s">
        <v>3171</v>
      </c>
      <c r="C151" t="s">
        <v>3172</v>
      </c>
      <c r="D151" t="s">
        <v>3213</v>
      </c>
      <c r="E151" t="s">
        <v>3214</v>
      </c>
      <c r="F151" t="s">
        <v>2830</v>
      </c>
      <c r="G151" t="s">
        <v>3215</v>
      </c>
    </row>
    <row r="152" spans="1:7" ht="11.25" customHeight="1">
      <c r="A152" s="310" t="s">
        <v>16</v>
      </c>
      <c r="B152" t="s">
        <v>3171</v>
      </c>
      <c r="C152" t="s">
        <v>3172</v>
      </c>
      <c r="D152" t="s">
        <v>3216</v>
      </c>
      <c r="E152" t="s">
        <v>3217</v>
      </c>
      <c r="F152" t="s">
        <v>2830</v>
      </c>
      <c r="G152" t="s">
        <v>3218</v>
      </c>
    </row>
    <row r="153" spans="1:7" ht="11.25" customHeight="1">
      <c r="A153" s="310" t="s">
        <v>16</v>
      </c>
      <c r="B153" t="s">
        <v>3171</v>
      </c>
      <c r="C153" t="s">
        <v>3172</v>
      </c>
      <c r="D153" t="s">
        <v>3219</v>
      </c>
      <c r="E153" t="s">
        <v>3220</v>
      </c>
      <c r="F153" t="s">
        <v>2830</v>
      </c>
      <c r="G153" t="s">
        <v>3221</v>
      </c>
    </row>
    <row r="154" spans="1:7" ht="11.25" customHeight="1">
      <c r="A154" s="310" t="s">
        <v>16</v>
      </c>
      <c r="B154" t="s">
        <v>3171</v>
      </c>
      <c r="C154" t="s">
        <v>3172</v>
      </c>
      <c r="D154" t="s">
        <v>3222</v>
      </c>
      <c r="E154" t="s">
        <v>3223</v>
      </c>
      <c r="F154" t="s">
        <v>2830</v>
      </c>
      <c r="G154" t="s">
        <v>3224</v>
      </c>
    </row>
    <row r="155" spans="1:7" ht="11.25" customHeight="1">
      <c r="A155" s="310" t="s">
        <v>16</v>
      </c>
      <c r="B155" t="s">
        <v>3225</v>
      </c>
      <c r="C155" t="s">
        <v>3226</v>
      </c>
      <c r="D155" t="s">
        <v>3227</v>
      </c>
      <c r="E155" t="s">
        <v>3228</v>
      </c>
      <c r="F155" t="s">
        <v>2830</v>
      </c>
      <c r="G155" t="s">
        <v>3229</v>
      </c>
    </row>
    <row r="156" spans="1:7" ht="11.25" customHeight="1">
      <c r="A156" s="310" t="s">
        <v>16</v>
      </c>
      <c r="B156" t="s">
        <v>3225</v>
      </c>
      <c r="C156" t="s">
        <v>3226</v>
      </c>
      <c r="D156" t="s">
        <v>3230</v>
      </c>
      <c r="E156" t="s">
        <v>3231</v>
      </c>
      <c r="F156" t="s">
        <v>2830</v>
      </c>
      <c r="G156" t="s">
        <v>3232</v>
      </c>
    </row>
    <row r="157" spans="1:7" ht="11.25" customHeight="1">
      <c r="A157" s="310" t="s">
        <v>16</v>
      </c>
      <c r="B157" t="s">
        <v>3225</v>
      </c>
      <c r="C157" t="s">
        <v>3226</v>
      </c>
      <c r="D157" t="s">
        <v>3233</v>
      </c>
      <c r="E157" t="s">
        <v>3234</v>
      </c>
      <c r="F157" t="s">
        <v>2830</v>
      </c>
      <c r="G157" t="s">
        <v>3235</v>
      </c>
    </row>
    <row r="158" spans="1:7" ht="11.25" customHeight="1">
      <c r="A158" s="310" t="s">
        <v>16</v>
      </c>
      <c r="B158" t="s">
        <v>3225</v>
      </c>
      <c r="C158" t="s">
        <v>3226</v>
      </c>
      <c r="D158" t="s">
        <v>2905</v>
      </c>
      <c r="E158" t="s">
        <v>3236</v>
      </c>
      <c r="F158" t="s">
        <v>2830</v>
      </c>
      <c r="G158" t="s">
        <v>3237</v>
      </c>
    </row>
    <row r="159" spans="1:7" ht="11.25" customHeight="1">
      <c r="A159" s="310" t="s">
        <v>16</v>
      </c>
      <c r="B159" t="s">
        <v>3225</v>
      </c>
      <c r="C159" t="s">
        <v>3226</v>
      </c>
      <c r="D159" t="s">
        <v>3225</v>
      </c>
      <c r="E159" t="s">
        <v>3226</v>
      </c>
      <c r="F159" t="s">
        <v>2827</v>
      </c>
      <c r="G159" t="s">
        <v>3238</v>
      </c>
    </row>
    <row r="160" spans="1:7" ht="11.25" customHeight="1">
      <c r="A160" s="310" t="s">
        <v>16</v>
      </c>
      <c r="B160" t="s">
        <v>3225</v>
      </c>
      <c r="C160" t="s">
        <v>3226</v>
      </c>
      <c r="D160" t="s">
        <v>3239</v>
      </c>
      <c r="E160" t="s">
        <v>3240</v>
      </c>
      <c r="F160" t="s">
        <v>2830</v>
      </c>
      <c r="G160" t="s">
        <v>3241</v>
      </c>
    </row>
    <row r="161" spans="1:7" ht="11.25" customHeight="1">
      <c r="A161" s="310" t="s">
        <v>16</v>
      </c>
      <c r="B161" t="s">
        <v>3225</v>
      </c>
      <c r="C161" t="s">
        <v>3226</v>
      </c>
      <c r="D161" t="s">
        <v>3242</v>
      </c>
      <c r="E161" t="s">
        <v>3243</v>
      </c>
      <c r="F161" t="s">
        <v>2830</v>
      </c>
      <c r="G161" t="s">
        <v>3244</v>
      </c>
    </row>
    <row r="162" spans="1:7" ht="11.25" customHeight="1">
      <c r="A162" s="310" t="s">
        <v>16</v>
      </c>
      <c r="B162" t="s">
        <v>3225</v>
      </c>
      <c r="C162" t="s">
        <v>3226</v>
      </c>
      <c r="D162" t="s">
        <v>3245</v>
      </c>
      <c r="E162" t="s">
        <v>3246</v>
      </c>
      <c r="F162" t="s">
        <v>2830</v>
      </c>
      <c r="G162" t="s">
        <v>3247</v>
      </c>
    </row>
    <row r="163" spans="1:7" ht="11.25" customHeight="1">
      <c r="A163" s="310" t="s">
        <v>16</v>
      </c>
      <c r="B163" t="s">
        <v>3225</v>
      </c>
      <c r="C163" t="s">
        <v>3226</v>
      </c>
      <c r="D163" t="s">
        <v>3248</v>
      </c>
      <c r="E163" t="s">
        <v>3249</v>
      </c>
      <c r="F163" t="s">
        <v>2830</v>
      </c>
      <c r="G163" t="s">
        <v>3250</v>
      </c>
    </row>
    <row r="164" spans="1:7" ht="11.25" customHeight="1">
      <c r="A164" s="310" t="s">
        <v>16</v>
      </c>
      <c r="B164" t="s">
        <v>3251</v>
      </c>
      <c r="C164" t="s">
        <v>3252</v>
      </c>
      <c r="D164" t="s">
        <v>3253</v>
      </c>
      <c r="E164" t="s">
        <v>3254</v>
      </c>
      <c r="F164" t="s">
        <v>2830</v>
      </c>
      <c r="G164" t="s">
        <v>3255</v>
      </c>
    </row>
    <row r="165" spans="1:7" ht="11.25" customHeight="1">
      <c r="A165" s="310" t="s">
        <v>16</v>
      </c>
      <c r="B165" t="s">
        <v>3251</v>
      </c>
      <c r="C165" t="s">
        <v>3252</v>
      </c>
      <c r="D165" t="s">
        <v>3256</v>
      </c>
      <c r="E165" t="s">
        <v>3257</v>
      </c>
      <c r="F165" t="s">
        <v>2830</v>
      </c>
      <c r="G165" t="s">
        <v>3258</v>
      </c>
    </row>
    <row r="166" spans="1:7" ht="11.25" customHeight="1">
      <c r="A166" s="310" t="s">
        <v>16</v>
      </c>
      <c r="B166" t="s">
        <v>3251</v>
      </c>
      <c r="C166" t="s">
        <v>3252</v>
      </c>
      <c r="D166" t="s">
        <v>2839</v>
      </c>
      <c r="E166" t="s">
        <v>3259</v>
      </c>
      <c r="F166" t="s">
        <v>2830</v>
      </c>
      <c r="G166" t="s">
        <v>3260</v>
      </c>
    </row>
    <row r="167" spans="1:7" ht="11.25" customHeight="1">
      <c r="A167" s="310" t="s">
        <v>16</v>
      </c>
      <c r="B167" t="s">
        <v>3251</v>
      </c>
      <c r="C167" t="s">
        <v>3252</v>
      </c>
      <c r="D167" t="s">
        <v>3261</v>
      </c>
      <c r="E167" t="s">
        <v>3262</v>
      </c>
      <c r="F167" t="s">
        <v>2830</v>
      </c>
      <c r="G167" t="s">
        <v>3263</v>
      </c>
    </row>
    <row r="168" spans="1:7" ht="11.25" customHeight="1">
      <c r="A168" s="310" t="s">
        <v>16</v>
      </c>
      <c r="B168" t="s">
        <v>3251</v>
      </c>
      <c r="C168" t="s">
        <v>3252</v>
      </c>
      <c r="D168" t="s">
        <v>3264</v>
      </c>
      <c r="E168" t="s">
        <v>3265</v>
      </c>
      <c r="F168" t="s">
        <v>2830</v>
      </c>
      <c r="G168" t="s">
        <v>3266</v>
      </c>
    </row>
    <row r="169" spans="1:7" ht="11.25" customHeight="1">
      <c r="A169" s="310" t="s">
        <v>16</v>
      </c>
      <c r="B169" t="s">
        <v>3251</v>
      </c>
      <c r="C169" t="s">
        <v>3252</v>
      </c>
      <c r="D169" t="s">
        <v>3267</v>
      </c>
      <c r="E169" t="s">
        <v>3268</v>
      </c>
      <c r="F169" t="s">
        <v>2830</v>
      </c>
      <c r="G169" t="s">
        <v>3269</v>
      </c>
    </row>
    <row r="170" spans="1:7" ht="11.25" customHeight="1">
      <c r="A170" s="310" t="s">
        <v>16</v>
      </c>
      <c r="B170" t="s">
        <v>3251</v>
      </c>
      <c r="C170" t="s">
        <v>3252</v>
      </c>
      <c r="D170" t="s">
        <v>3270</v>
      </c>
      <c r="E170" t="s">
        <v>3271</v>
      </c>
      <c r="F170" t="s">
        <v>2830</v>
      </c>
      <c r="G170" t="s">
        <v>3272</v>
      </c>
    </row>
    <row r="171" spans="1:7" ht="11.25" customHeight="1">
      <c r="A171" s="310" t="s">
        <v>16</v>
      </c>
      <c r="B171" t="s">
        <v>3251</v>
      </c>
      <c r="C171" t="s">
        <v>3252</v>
      </c>
      <c r="D171" t="s">
        <v>3251</v>
      </c>
      <c r="E171" t="s">
        <v>3252</v>
      </c>
      <c r="F171" t="s">
        <v>2827</v>
      </c>
      <c r="G171" t="s">
        <v>3273</v>
      </c>
    </row>
    <row r="172" spans="1:7" ht="11.25" customHeight="1">
      <c r="A172" s="310" t="s">
        <v>16</v>
      </c>
      <c r="B172" t="s">
        <v>3251</v>
      </c>
      <c r="C172" t="s">
        <v>3252</v>
      </c>
      <c r="D172" t="s">
        <v>3274</v>
      </c>
      <c r="E172" t="s">
        <v>3275</v>
      </c>
      <c r="F172" t="s">
        <v>2830</v>
      </c>
      <c r="G172" t="s">
        <v>3276</v>
      </c>
    </row>
    <row r="173" spans="1:7" ht="11.25" customHeight="1">
      <c r="A173" s="310" t="s">
        <v>16</v>
      </c>
      <c r="B173" t="s">
        <v>3251</v>
      </c>
      <c r="C173" t="s">
        <v>3252</v>
      </c>
      <c r="D173" t="s">
        <v>3277</v>
      </c>
      <c r="E173" t="s">
        <v>3278</v>
      </c>
      <c r="F173" t="s">
        <v>2830</v>
      </c>
      <c r="G173" t="s">
        <v>3279</v>
      </c>
    </row>
    <row r="174" spans="1:7" ht="11.25" customHeight="1">
      <c r="A174" s="310" t="s">
        <v>16</v>
      </c>
      <c r="B174" t="s">
        <v>3251</v>
      </c>
      <c r="C174" t="s">
        <v>3252</v>
      </c>
      <c r="D174" t="s">
        <v>3280</v>
      </c>
      <c r="E174" t="s">
        <v>3281</v>
      </c>
      <c r="F174" t="s">
        <v>2830</v>
      </c>
      <c r="G174" t="s">
        <v>3282</v>
      </c>
    </row>
    <row r="175" spans="1:7" ht="11.25" customHeight="1">
      <c r="A175" s="310" t="s">
        <v>16</v>
      </c>
      <c r="B175" t="s">
        <v>3283</v>
      </c>
      <c r="C175" t="s">
        <v>3284</v>
      </c>
      <c r="D175" t="s">
        <v>3253</v>
      </c>
      <c r="E175" t="s">
        <v>3285</v>
      </c>
      <c r="F175" t="s">
        <v>2830</v>
      </c>
      <c r="G175" t="s">
        <v>3286</v>
      </c>
    </row>
    <row r="176" spans="1:7" ht="11.25" customHeight="1">
      <c r="A176" s="310" t="s">
        <v>16</v>
      </c>
      <c r="B176" t="s">
        <v>3283</v>
      </c>
      <c r="C176" t="s">
        <v>3284</v>
      </c>
      <c r="D176" t="s">
        <v>3287</v>
      </c>
      <c r="E176" t="s">
        <v>3288</v>
      </c>
      <c r="F176" t="s">
        <v>2830</v>
      </c>
      <c r="G176" t="s">
        <v>3289</v>
      </c>
    </row>
    <row r="177" spans="1:7" ht="11.25" customHeight="1">
      <c r="A177" s="310" t="s">
        <v>16</v>
      </c>
      <c r="B177" t="s">
        <v>3283</v>
      </c>
      <c r="C177" t="s">
        <v>3284</v>
      </c>
      <c r="D177" t="s">
        <v>3290</v>
      </c>
      <c r="E177" t="s">
        <v>3291</v>
      </c>
      <c r="F177" t="s">
        <v>2830</v>
      </c>
      <c r="G177" t="s">
        <v>3292</v>
      </c>
    </row>
    <row r="178" spans="1:7" ht="11.25" customHeight="1">
      <c r="A178" s="310" t="s">
        <v>16</v>
      </c>
      <c r="B178" t="s">
        <v>3283</v>
      </c>
      <c r="C178" t="s">
        <v>3284</v>
      </c>
      <c r="D178" t="s">
        <v>3293</v>
      </c>
      <c r="E178" t="s">
        <v>3294</v>
      </c>
      <c r="F178" t="s">
        <v>2830</v>
      </c>
      <c r="G178" t="s">
        <v>3295</v>
      </c>
    </row>
    <row r="179" spans="1:7" ht="11.25" customHeight="1">
      <c r="A179" s="310" t="s">
        <v>16</v>
      </c>
      <c r="B179" t="s">
        <v>3283</v>
      </c>
      <c r="C179" t="s">
        <v>3284</v>
      </c>
      <c r="D179" t="s">
        <v>3296</v>
      </c>
      <c r="E179" t="s">
        <v>3297</v>
      </c>
      <c r="F179" t="s">
        <v>2830</v>
      </c>
      <c r="G179" t="s">
        <v>3298</v>
      </c>
    </row>
    <row r="180" spans="1:7" ht="11.25" customHeight="1">
      <c r="A180" s="310" t="s">
        <v>16</v>
      </c>
      <c r="B180" t="s">
        <v>3283</v>
      </c>
      <c r="C180" t="s">
        <v>3284</v>
      </c>
      <c r="D180" t="s">
        <v>3299</v>
      </c>
      <c r="E180" t="s">
        <v>3300</v>
      </c>
      <c r="F180" t="s">
        <v>2830</v>
      </c>
      <c r="G180" t="s">
        <v>3301</v>
      </c>
    </row>
    <row r="181" spans="1:7" ht="11.25" customHeight="1">
      <c r="A181" s="310" t="s">
        <v>16</v>
      </c>
      <c r="B181" t="s">
        <v>3283</v>
      </c>
      <c r="C181" t="s">
        <v>3284</v>
      </c>
      <c r="D181" t="s">
        <v>3283</v>
      </c>
      <c r="E181" t="s">
        <v>3284</v>
      </c>
      <c r="F181" t="s">
        <v>2827</v>
      </c>
      <c r="G181" t="s">
        <v>3302</v>
      </c>
    </row>
    <row r="182" spans="1:7" ht="11.25" customHeight="1">
      <c r="A182" s="310" t="s">
        <v>16</v>
      </c>
      <c r="B182" t="s">
        <v>3283</v>
      </c>
      <c r="C182" t="s">
        <v>3284</v>
      </c>
      <c r="D182" t="s">
        <v>3303</v>
      </c>
      <c r="E182" t="s">
        <v>3304</v>
      </c>
      <c r="F182" t="s">
        <v>2830</v>
      </c>
      <c r="G182" t="s">
        <v>3305</v>
      </c>
    </row>
    <row r="183" spans="1:7" ht="11.25" customHeight="1">
      <c r="A183" s="310" t="s">
        <v>16</v>
      </c>
      <c r="B183" t="s">
        <v>3306</v>
      </c>
      <c r="C183" t="s">
        <v>3307</v>
      </c>
      <c r="D183" t="s">
        <v>3308</v>
      </c>
      <c r="E183" t="s">
        <v>3309</v>
      </c>
      <c r="F183" t="s">
        <v>2830</v>
      </c>
      <c r="G183" t="s">
        <v>3310</v>
      </c>
    </row>
    <row r="184" spans="1:7" ht="11.25" customHeight="1">
      <c r="A184" s="310" t="s">
        <v>16</v>
      </c>
      <c r="B184" t="s">
        <v>3306</v>
      </c>
      <c r="C184" t="s">
        <v>3307</v>
      </c>
      <c r="D184" t="s">
        <v>3311</v>
      </c>
      <c r="E184" t="s">
        <v>3312</v>
      </c>
      <c r="F184" t="s">
        <v>2830</v>
      </c>
      <c r="G184" t="s">
        <v>3313</v>
      </c>
    </row>
    <row r="185" spans="1:7" ht="11.25" customHeight="1">
      <c r="A185" s="310" t="s">
        <v>16</v>
      </c>
      <c r="B185" t="s">
        <v>3306</v>
      </c>
      <c r="C185" t="s">
        <v>3307</v>
      </c>
      <c r="D185" t="s">
        <v>3314</v>
      </c>
      <c r="E185" t="s">
        <v>3315</v>
      </c>
      <c r="F185" t="s">
        <v>2830</v>
      </c>
      <c r="G185" t="s">
        <v>3316</v>
      </c>
    </row>
    <row r="186" spans="1:7" ht="11.25" customHeight="1">
      <c r="A186" s="310" t="s">
        <v>16</v>
      </c>
      <c r="B186" t="s">
        <v>3306</v>
      </c>
      <c r="C186" t="s">
        <v>3307</v>
      </c>
      <c r="D186" t="s">
        <v>3317</v>
      </c>
      <c r="E186" t="s">
        <v>3318</v>
      </c>
      <c r="F186" t="s">
        <v>2830</v>
      </c>
      <c r="G186" t="s">
        <v>3319</v>
      </c>
    </row>
    <row r="187" spans="1:7" ht="11.25" customHeight="1">
      <c r="A187" s="310" t="s">
        <v>16</v>
      </c>
      <c r="B187" t="s">
        <v>3306</v>
      </c>
      <c r="C187" t="s">
        <v>3307</v>
      </c>
      <c r="D187" t="s">
        <v>3320</v>
      </c>
      <c r="E187" t="s">
        <v>3321</v>
      </c>
      <c r="F187" t="s">
        <v>2830</v>
      </c>
      <c r="G187" t="s">
        <v>3322</v>
      </c>
    </row>
    <row r="188" spans="1:7" ht="11.25" customHeight="1">
      <c r="A188" s="310" t="s">
        <v>16</v>
      </c>
      <c r="B188" t="s">
        <v>3306</v>
      </c>
      <c r="C188" t="s">
        <v>3307</v>
      </c>
      <c r="D188" t="s">
        <v>3323</v>
      </c>
      <c r="E188" t="s">
        <v>3324</v>
      </c>
      <c r="F188" t="s">
        <v>2830</v>
      </c>
      <c r="G188" t="s">
        <v>3325</v>
      </c>
    </row>
    <row r="189" spans="1:7" ht="11.25" customHeight="1">
      <c r="A189" s="310" t="s">
        <v>16</v>
      </c>
      <c r="B189" t="s">
        <v>3306</v>
      </c>
      <c r="C189" t="s">
        <v>3307</v>
      </c>
      <c r="D189" t="s">
        <v>3326</v>
      </c>
      <c r="E189" t="s">
        <v>3327</v>
      </c>
      <c r="F189" t="s">
        <v>2830</v>
      </c>
      <c r="G189" t="s">
        <v>3328</v>
      </c>
    </row>
    <row r="190" spans="1:7" ht="11.25" customHeight="1">
      <c r="A190" s="310" t="s">
        <v>16</v>
      </c>
      <c r="B190" t="s">
        <v>3306</v>
      </c>
      <c r="C190" t="s">
        <v>3307</v>
      </c>
      <c r="D190" t="s">
        <v>3329</v>
      </c>
      <c r="E190" t="s">
        <v>3330</v>
      </c>
      <c r="F190" t="s">
        <v>2830</v>
      </c>
      <c r="G190" t="s">
        <v>3331</v>
      </c>
    </row>
    <row r="191" spans="1:7" ht="11.25" customHeight="1">
      <c r="A191" s="310" t="s">
        <v>16</v>
      </c>
      <c r="B191" t="s">
        <v>3306</v>
      </c>
      <c r="C191" t="s">
        <v>3307</v>
      </c>
      <c r="D191" t="s">
        <v>2970</v>
      </c>
      <c r="E191" t="s">
        <v>3332</v>
      </c>
      <c r="F191" t="s">
        <v>2830</v>
      </c>
      <c r="G191" t="s">
        <v>3333</v>
      </c>
    </row>
    <row r="192" spans="1:7" ht="11.25" customHeight="1">
      <c r="A192" s="310" t="s">
        <v>16</v>
      </c>
      <c r="B192" t="s">
        <v>3306</v>
      </c>
      <c r="C192" t="s">
        <v>3307</v>
      </c>
      <c r="D192" t="s">
        <v>3334</v>
      </c>
      <c r="E192" t="s">
        <v>3335</v>
      </c>
      <c r="F192" t="s">
        <v>2830</v>
      </c>
      <c r="G192" t="s">
        <v>3336</v>
      </c>
    </row>
    <row r="193" spans="1:7" ht="11.25" customHeight="1">
      <c r="A193" s="310" t="s">
        <v>16</v>
      </c>
      <c r="B193" t="s">
        <v>3306</v>
      </c>
      <c r="C193" t="s">
        <v>3307</v>
      </c>
      <c r="D193" t="s">
        <v>3337</v>
      </c>
      <c r="E193" t="s">
        <v>3338</v>
      </c>
      <c r="F193" t="s">
        <v>2830</v>
      </c>
      <c r="G193" t="s">
        <v>3339</v>
      </c>
    </row>
    <row r="194" spans="1:7" ht="11.25" customHeight="1">
      <c r="A194" s="310" t="s">
        <v>16</v>
      </c>
      <c r="B194" t="s">
        <v>3306</v>
      </c>
      <c r="C194" t="s">
        <v>3307</v>
      </c>
      <c r="D194" t="s">
        <v>3340</v>
      </c>
      <c r="E194" t="s">
        <v>3341</v>
      </c>
      <c r="F194" t="s">
        <v>2830</v>
      </c>
      <c r="G194" t="s">
        <v>3342</v>
      </c>
    </row>
    <row r="195" spans="1:7" ht="11.25" customHeight="1">
      <c r="A195" s="310" t="s">
        <v>16</v>
      </c>
      <c r="B195" t="s">
        <v>3306</v>
      </c>
      <c r="C195" t="s">
        <v>3307</v>
      </c>
      <c r="D195" t="s">
        <v>3343</v>
      </c>
      <c r="E195" t="s">
        <v>3344</v>
      </c>
      <c r="F195" t="s">
        <v>2830</v>
      </c>
      <c r="G195" t="s">
        <v>3345</v>
      </c>
    </row>
    <row r="196" spans="1:7" ht="11.25" customHeight="1">
      <c r="A196" s="310" t="s">
        <v>16</v>
      </c>
      <c r="B196" t="s">
        <v>3306</v>
      </c>
      <c r="C196" t="s">
        <v>3307</v>
      </c>
      <c r="D196" t="s">
        <v>3346</v>
      </c>
      <c r="E196" t="s">
        <v>3347</v>
      </c>
      <c r="F196" t="s">
        <v>2830</v>
      </c>
      <c r="G196" t="s">
        <v>3348</v>
      </c>
    </row>
    <row r="197" spans="1:7" ht="11.25" customHeight="1">
      <c r="A197" s="310" t="s">
        <v>16</v>
      </c>
      <c r="B197" t="s">
        <v>3306</v>
      </c>
      <c r="C197" t="s">
        <v>3307</v>
      </c>
      <c r="D197" t="s">
        <v>3349</v>
      </c>
      <c r="E197" t="s">
        <v>3350</v>
      </c>
      <c r="F197" t="s">
        <v>2830</v>
      </c>
      <c r="G197" t="s">
        <v>3351</v>
      </c>
    </row>
    <row r="198" spans="1:7" ht="11.25" customHeight="1">
      <c r="A198" s="310" t="s">
        <v>16</v>
      </c>
      <c r="B198" t="s">
        <v>3306</v>
      </c>
      <c r="C198" t="s">
        <v>3307</v>
      </c>
      <c r="D198" t="s">
        <v>3352</v>
      </c>
      <c r="E198" t="s">
        <v>3353</v>
      </c>
      <c r="F198" t="s">
        <v>2830</v>
      </c>
      <c r="G198" t="s">
        <v>3354</v>
      </c>
    </row>
    <row r="199" spans="1:7" ht="11.25" customHeight="1">
      <c r="A199" s="310" t="s">
        <v>16</v>
      </c>
      <c r="B199" t="s">
        <v>3306</v>
      </c>
      <c r="C199" t="s">
        <v>3307</v>
      </c>
      <c r="D199" t="s">
        <v>3355</v>
      </c>
      <c r="E199" t="s">
        <v>3356</v>
      </c>
      <c r="F199" t="s">
        <v>2830</v>
      </c>
      <c r="G199" t="s">
        <v>3357</v>
      </c>
    </row>
    <row r="200" spans="1:7" ht="11.25" customHeight="1">
      <c r="A200" s="310" t="s">
        <v>16</v>
      </c>
      <c r="B200" t="s">
        <v>3306</v>
      </c>
      <c r="C200" t="s">
        <v>3307</v>
      </c>
      <c r="D200" t="s">
        <v>3358</v>
      </c>
      <c r="E200" t="s">
        <v>3359</v>
      </c>
      <c r="F200" t="s">
        <v>2830</v>
      </c>
      <c r="G200" t="s">
        <v>3360</v>
      </c>
    </row>
    <row r="201" spans="1:7" ht="11.25" customHeight="1">
      <c r="A201" s="310" t="s">
        <v>16</v>
      </c>
      <c r="B201" t="s">
        <v>3306</v>
      </c>
      <c r="C201" t="s">
        <v>3307</v>
      </c>
      <c r="D201" t="s">
        <v>3361</v>
      </c>
      <c r="E201" t="s">
        <v>3362</v>
      </c>
      <c r="F201" t="s">
        <v>2830</v>
      </c>
      <c r="G201" t="s">
        <v>3363</v>
      </c>
    </row>
    <row r="202" spans="1:7" ht="11.25" customHeight="1">
      <c r="A202" s="310" t="s">
        <v>16</v>
      </c>
      <c r="B202" t="s">
        <v>3306</v>
      </c>
      <c r="C202" t="s">
        <v>3307</v>
      </c>
      <c r="D202" t="s">
        <v>3364</v>
      </c>
      <c r="E202" t="s">
        <v>3365</v>
      </c>
      <c r="F202" t="s">
        <v>2830</v>
      </c>
      <c r="G202" t="s">
        <v>3366</v>
      </c>
    </row>
    <row r="203" spans="1:7" ht="11.25" customHeight="1">
      <c r="A203" s="310" t="s">
        <v>16</v>
      </c>
      <c r="B203" t="s">
        <v>3306</v>
      </c>
      <c r="C203" t="s">
        <v>3307</v>
      </c>
      <c r="D203" t="s">
        <v>3306</v>
      </c>
      <c r="E203" t="s">
        <v>3307</v>
      </c>
      <c r="F203" t="s">
        <v>2827</v>
      </c>
      <c r="G203" t="s">
        <v>3367</v>
      </c>
    </row>
    <row r="204" spans="1:7" ht="11.25" customHeight="1">
      <c r="A204" s="310" t="s">
        <v>16</v>
      </c>
      <c r="B204" t="s">
        <v>3306</v>
      </c>
      <c r="C204" t="s">
        <v>3307</v>
      </c>
      <c r="D204" t="s">
        <v>3368</v>
      </c>
      <c r="E204" t="s">
        <v>3369</v>
      </c>
      <c r="F204" t="s">
        <v>2830</v>
      </c>
      <c r="G204" t="s">
        <v>3370</v>
      </c>
    </row>
    <row r="205" spans="1:7" ht="11.25" customHeight="1">
      <c r="A205" s="310" t="s">
        <v>16</v>
      </c>
      <c r="B205" t="s">
        <v>3306</v>
      </c>
      <c r="C205" t="s">
        <v>3307</v>
      </c>
      <c r="D205" t="s">
        <v>3371</v>
      </c>
      <c r="E205" t="s">
        <v>3372</v>
      </c>
      <c r="F205" t="s">
        <v>2830</v>
      </c>
      <c r="G205" t="s">
        <v>3373</v>
      </c>
    </row>
    <row r="206" spans="1:7" ht="11.25" customHeight="1">
      <c r="A206" s="310" t="s">
        <v>16</v>
      </c>
      <c r="B206" t="s">
        <v>3374</v>
      </c>
      <c r="C206" t="s">
        <v>3375</v>
      </c>
      <c r="D206" t="s">
        <v>3376</v>
      </c>
      <c r="E206" t="s">
        <v>3377</v>
      </c>
      <c r="F206" t="s">
        <v>2830</v>
      </c>
      <c r="G206" t="s">
        <v>3378</v>
      </c>
    </row>
    <row r="207" spans="1:7" ht="11.25" customHeight="1">
      <c r="A207" s="310" t="s">
        <v>16</v>
      </c>
      <c r="B207" t="s">
        <v>3374</v>
      </c>
      <c r="C207" t="s">
        <v>3375</v>
      </c>
      <c r="D207" t="s">
        <v>3379</v>
      </c>
      <c r="E207" t="s">
        <v>3380</v>
      </c>
      <c r="F207" t="s">
        <v>2830</v>
      </c>
      <c r="G207" t="s">
        <v>3381</v>
      </c>
    </row>
    <row r="208" spans="1:7" ht="11.25" customHeight="1">
      <c r="A208" s="310" t="s">
        <v>16</v>
      </c>
      <c r="B208" t="s">
        <v>3374</v>
      </c>
      <c r="C208" t="s">
        <v>3375</v>
      </c>
      <c r="D208" t="s">
        <v>3382</v>
      </c>
      <c r="E208" t="s">
        <v>3383</v>
      </c>
      <c r="F208" t="s">
        <v>2830</v>
      </c>
      <c r="G208" t="s">
        <v>3384</v>
      </c>
    </row>
    <row r="209" spans="1:7" ht="11.25" customHeight="1">
      <c r="A209" s="310" t="s">
        <v>16</v>
      </c>
      <c r="B209" t="s">
        <v>3374</v>
      </c>
      <c r="C209" t="s">
        <v>3375</v>
      </c>
      <c r="D209" t="s">
        <v>3385</v>
      </c>
      <c r="E209" t="s">
        <v>3386</v>
      </c>
      <c r="F209" t="s">
        <v>2830</v>
      </c>
      <c r="G209" t="s">
        <v>3387</v>
      </c>
    </row>
    <row r="210" spans="1:7" ht="11.25" customHeight="1">
      <c r="A210" s="310" t="s">
        <v>16</v>
      </c>
      <c r="B210" t="s">
        <v>3374</v>
      </c>
      <c r="C210" t="s">
        <v>3375</v>
      </c>
      <c r="D210" t="s">
        <v>3388</v>
      </c>
      <c r="E210" t="s">
        <v>3389</v>
      </c>
      <c r="F210" t="s">
        <v>2830</v>
      </c>
      <c r="G210" t="s">
        <v>3390</v>
      </c>
    </row>
    <row r="211" spans="1:7" ht="11.25" customHeight="1">
      <c r="A211" s="310" t="s">
        <v>16</v>
      </c>
      <c r="B211" t="s">
        <v>3374</v>
      </c>
      <c r="C211" t="s">
        <v>3375</v>
      </c>
      <c r="D211" t="s">
        <v>3391</v>
      </c>
      <c r="E211" t="s">
        <v>3392</v>
      </c>
      <c r="F211" t="s">
        <v>2830</v>
      </c>
      <c r="G211" t="s">
        <v>3393</v>
      </c>
    </row>
    <row r="212" spans="1:7" ht="11.25" customHeight="1">
      <c r="A212" s="310" t="s">
        <v>16</v>
      </c>
      <c r="B212" t="s">
        <v>3374</v>
      </c>
      <c r="C212" t="s">
        <v>3375</v>
      </c>
      <c r="D212" t="s">
        <v>3394</v>
      </c>
      <c r="E212" t="s">
        <v>3395</v>
      </c>
      <c r="F212" t="s">
        <v>2830</v>
      </c>
      <c r="G212" t="s">
        <v>3396</v>
      </c>
    </row>
    <row r="213" spans="1:7" ht="11.25" customHeight="1">
      <c r="A213" s="310" t="s">
        <v>16</v>
      </c>
      <c r="B213" t="s">
        <v>3374</v>
      </c>
      <c r="C213" t="s">
        <v>3375</v>
      </c>
      <c r="D213" t="s">
        <v>3397</v>
      </c>
      <c r="E213" t="s">
        <v>3398</v>
      </c>
      <c r="F213" t="s">
        <v>2830</v>
      </c>
      <c r="G213" t="s">
        <v>3399</v>
      </c>
    </row>
    <row r="214" spans="1:7" ht="11.25" customHeight="1">
      <c r="A214" s="310" t="s">
        <v>16</v>
      </c>
      <c r="B214" t="s">
        <v>3374</v>
      </c>
      <c r="C214" t="s">
        <v>3375</v>
      </c>
      <c r="D214" t="s">
        <v>3400</v>
      </c>
      <c r="E214" t="s">
        <v>3401</v>
      </c>
      <c r="F214" t="s">
        <v>2830</v>
      </c>
      <c r="G214" t="s">
        <v>3402</v>
      </c>
    </row>
    <row r="215" spans="1:7" ht="11.25" customHeight="1">
      <c r="A215" s="310" t="s">
        <v>16</v>
      </c>
      <c r="B215" t="s">
        <v>3374</v>
      </c>
      <c r="C215" t="s">
        <v>3375</v>
      </c>
      <c r="D215" t="s">
        <v>3403</v>
      </c>
      <c r="E215" t="s">
        <v>3404</v>
      </c>
      <c r="F215" t="s">
        <v>2830</v>
      </c>
      <c r="G215" t="s">
        <v>3405</v>
      </c>
    </row>
    <row r="216" spans="1:7" ht="11.25" customHeight="1">
      <c r="A216" s="310" t="s">
        <v>16</v>
      </c>
      <c r="B216" t="s">
        <v>3374</v>
      </c>
      <c r="C216" t="s">
        <v>3375</v>
      </c>
      <c r="D216" t="s">
        <v>3406</v>
      </c>
      <c r="E216" t="s">
        <v>3407</v>
      </c>
      <c r="F216" t="s">
        <v>2830</v>
      </c>
      <c r="G216" t="s">
        <v>3408</v>
      </c>
    </row>
    <row r="217" spans="1:7" ht="11.25" customHeight="1">
      <c r="A217" s="310" t="s">
        <v>16</v>
      </c>
      <c r="B217" t="s">
        <v>3374</v>
      </c>
      <c r="C217" t="s">
        <v>3375</v>
      </c>
      <c r="D217" t="s">
        <v>3409</v>
      </c>
      <c r="E217" t="s">
        <v>3410</v>
      </c>
      <c r="F217" t="s">
        <v>2830</v>
      </c>
      <c r="G217" t="s">
        <v>3411</v>
      </c>
    </row>
    <row r="218" spans="1:7" ht="11.25" customHeight="1">
      <c r="A218" s="310" t="s">
        <v>16</v>
      </c>
      <c r="B218" t="s">
        <v>3374</v>
      </c>
      <c r="C218" t="s">
        <v>3375</v>
      </c>
      <c r="D218" t="s">
        <v>3412</v>
      </c>
      <c r="E218" t="s">
        <v>3413</v>
      </c>
      <c r="F218" t="s">
        <v>2830</v>
      </c>
      <c r="G218" t="s">
        <v>3414</v>
      </c>
    </row>
    <row r="219" spans="1:7" ht="11.25" customHeight="1">
      <c r="A219" s="310" t="s">
        <v>16</v>
      </c>
      <c r="B219" t="s">
        <v>3374</v>
      </c>
      <c r="C219" t="s">
        <v>3375</v>
      </c>
      <c r="D219" t="s">
        <v>3415</v>
      </c>
      <c r="E219" t="s">
        <v>3416</v>
      </c>
      <c r="F219" t="s">
        <v>2830</v>
      </c>
      <c r="G219" t="s">
        <v>3417</v>
      </c>
    </row>
    <row r="220" spans="1:7" ht="11.25" customHeight="1">
      <c r="A220" s="310" t="s">
        <v>16</v>
      </c>
      <c r="B220" t="s">
        <v>3374</v>
      </c>
      <c r="C220" t="s">
        <v>3375</v>
      </c>
      <c r="D220" t="s">
        <v>3418</v>
      </c>
      <c r="E220" t="s">
        <v>3419</v>
      </c>
      <c r="F220" t="s">
        <v>2830</v>
      </c>
      <c r="G220" t="s">
        <v>3420</v>
      </c>
    </row>
    <row r="221" spans="1:7" ht="11.25" customHeight="1">
      <c r="A221" s="310" t="s">
        <v>16</v>
      </c>
      <c r="B221" t="s">
        <v>3374</v>
      </c>
      <c r="C221" t="s">
        <v>3375</v>
      </c>
      <c r="D221" t="s">
        <v>3421</v>
      </c>
      <c r="E221" t="s">
        <v>3422</v>
      </c>
      <c r="F221" t="s">
        <v>2830</v>
      </c>
      <c r="G221" t="s">
        <v>3423</v>
      </c>
    </row>
    <row r="222" spans="1:7" ht="11.25" customHeight="1">
      <c r="A222" s="310" t="s">
        <v>16</v>
      </c>
      <c r="B222" t="s">
        <v>3374</v>
      </c>
      <c r="C222" t="s">
        <v>3375</v>
      </c>
      <c r="D222" t="s">
        <v>3374</v>
      </c>
      <c r="E222" t="s">
        <v>3375</v>
      </c>
      <c r="F222" t="s">
        <v>2827</v>
      </c>
      <c r="G222" t="s">
        <v>3424</v>
      </c>
    </row>
    <row r="223" spans="1:7" ht="11.25" customHeight="1">
      <c r="A223" s="310" t="s">
        <v>16</v>
      </c>
      <c r="B223" t="s">
        <v>3374</v>
      </c>
      <c r="C223" t="s">
        <v>3375</v>
      </c>
      <c r="D223" t="s">
        <v>3425</v>
      </c>
      <c r="E223" t="s">
        <v>3426</v>
      </c>
      <c r="F223" t="s">
        <v>2830</v>
      </c>
      <c r="G223" t="s">
        <v>3427</v>
      </c>
    </row>
    <row r="224" spans="1:7" ht="11.25" customHeight="1">
      <c r="A224" s="310" t="s">
        <v>16</v>
      </c>
      <c r="B224" t="s">
        <v>3374</v>
      </c>
      <c r="C224" t="s">
        <v>3375</v>
      </c>
      <c r="D224" t="s">
        <v>3428</v>
      </c>
      <c r="E224" t="s">
        <v>3429</v>
      </c>
      <c r="F224" t="s">
        <v>2830</v>
      </c>
      <c r="G224" t="s">
        <v>3430</v>
      </c>
    </row>
    <row r="225" spans="1:7" ht="11.25" customHeight="1">
      <c r="A225" s="310" t="s">
        <v>16</v>
      </c>
      <c r="B225" t="s">
        <v>3374</v>
      </c>
      <c r="C225" t="s">
        <v>3375</v>
      </c>
      <c r="D225" t="s">
        <v>3431</v>
      </c>
      <c r="E225" t="s">
        <v>3432</v>
      </c>
      <c r="F225" t="s">
        <v>2830</v>
      </c>
      <c r="G225" t="s">
        <v>3433</v>
      </c>
    </row>
    <row r="226" spans="1:7" ht="11.25" customHeight="1">
      <c r="A226" s="310" t="s">
        <v>16</v>
      </c>
      <c r="B226" t="s">
        <v>3374</v>
      </c>
      <c r="C226" t="s">
        <v>3375</v>
      </c>
      <c r="D226" t="s">
        <v>3434</v>
      </c>
      <c r="E226" t="s">
        <v>3435</v>
      </c>
      <c r="F226" t="s">
        <v>2830</v>
      </c>
      <c r="G226" t="s">
        <v>3436</v>
      </c>
    </row>
    <row r="227" spans="1:7" ht="11.25" customHeight="1">
      <c r="A227" s="310" t="s">
        <v>16</v>
      </c>
      <c r="B227" t="s">
        <v>3437</v>
      </c>
      <c r="C227" t="s">
        <v>3438</v>
      </c>
      <c r="D227" t="s">
        <v>3439</v>
      </c>
      <c r="E227" t="s">
        <v>3440</v>
      </c>
      <c r="F227" t="s">
        <v>2830</v>
      </c>
      <c r="G227" t="s">
        <v>3441</v>
      </c>
    </row>
    <row r="228" spans="1:7" ht="11.25" customHeight="1">
      <c r="A228" s="310" t="s">
        <v>16</v>
      </c>
      <c r="B228" t="s">
        <v>3437</v>
      </c>
      <c r="C228" t="s">
        <v>3438</v>
      </c>
      <c r="D228" t="s">
        <v>3442</v>
      </c>
      <c r="E228" t="s">
        <v>3443</v>
      </c>
      <c r="F228" t="s">
        <v>2830</v>
      </c>
      <c r="G228" t="s">
        <v>3444</v>
      </c>
    </row>
    <row r="229" spans="1:7" ht="11.25" customHeight="1">
      <c r="A229" s="310" t="s">
        <v>16</v>
      </c>
      <c r="B229" t="s">
        <v>3437</v>
      </c>
      <c r="C229" t="s">
        <v>3438</v>
      </c>
      <c r="D229" t="s">
        <v>3445</v>
      </c>
      <c r="E229" t="s">
        <v>3446</v>
      </c>
      <c r="F229" t="s">
        <v>2830</v>
      </c>
      <c r="G229" t="s">
        <v>3447</v>
      </c>
    </row>
    <row r="230" spans="1:7" ht="11.25" customHeight="1">
      <c r="A230" s="310" t="s">
        <v>16</v>
      </c>
      <c r="B230" t="s">
        <v>3437</v>
      </c>
      <c r="C230" t="s">
        <v>3438</v>
      </c>
      <c r="D230" t="s">
        <v>2855</v>
      </c>
      <c r="E230" t="s">
        <v>3448</v>
      </c>
      <c r="F230" t="s">
        <v>2830</v>
      </c>
      <c r="G230" t="s">
        <v>3449</v>
      </c>
    </row>
    <row r="231" spans="1:7" ht="11.25" customHeight="1">
      <c r="A231" s="310" t="s">
        <v>16</v>
      </c>
      <c r="B231" t="s">
        <v>3437</v>
      </c>
      <c r="C231" t="s">
        <v>3438</v>
      </c>
      <c r="D231" t="s">
        <v>3450</v>
      </c>
      <c r="E231" t="s">
        <v>3451</v>
      </c>
      <c r="F231" t="s">
        <v>2830</v>
      </c>
      <c r="G231" t="s">
        <v>3452</v>
      </c>
    </row>
    <row r="232" spans="1:7" ht="11.25" customHeight="1">
      <c r="A232" s="310" t="s">
        <v>16</v>
      </c>
      <c r="B232" t="s">
        <v>3437</v>
      </c>
      <c r="C232" t="s">
        <v>3438</v>
      </c>
      <c r="D232" t="s">
        <v>3453</v>
      </c>
      <c r="E232" t="s">
        <v>3454</v>
      </c>
      <c r="F232" t="s">
        <v>3455</v>
      </c>
      <c r="G232" t="s">
        <v>3456</v>
      </c>
    </row>
    <row r="233" spans="1:7" ht="11.25" customHeight="1">
      <c r="A233" s="310" t="s">
        <v>16</v>
      </c>
      <c r="B233" t="s">
        <v>3437</v>
      </c>
      <c r="C233" t="s">
        <v>3438</v>
      </c>
      <c r="D233" t="s">
        <v>3457</v>
      </c>
      <c r="E233" t="s">
        <v>3458</v>
      </c>
      <c r="F233" t="s">
        <v>2830</v>
      </c>
      <c r="G233" t="s">
        <v>3459</v>
      </c>
    </row>
    <row r="234" spans="1:7" ht="11.25" customHeight="1">
      <c r="A234" s="310" t="s">
        <v>16</v>
      </c>
      <c r="B234" t="s">
        <v>3437</v>
      </c>
      <c r="C234" t="s">
        <v>3438</v>
      </c>
      <c r="D234" t="s">
        <v>3460</v>
      </c>
      <c r="E234" t="s">
        <v>3461</v>
      </c>
      <c r="F234" t="s">
        <v>2830</v>
      </c>
      <c r="G234" t="s">
        <v>3462</v>
      </c>
    </row>
    <row r="235" spans="1:7" ht="11.25" customHeight="1">
      <c r="A235" s="310" t="s">
        <v>16</v>
      </c>
      <c r="B235" t="s">
        <v>3437</v>
      </c>
      <c r="C235" t="s">
        <v>3438</v>
      </c>
      <c r="D235" t="s">
        <v>3463</v>
      </c>
      <c r="E235" t="s">
        <v>3464</v>
      </c>
      <c r="F235" t="s">
        <v>2830</v>
      </c>
      <c r="G235" t="s">
        <v>3465</v>
      </c>
    </row>
    <row r="236" spans="1:7" ht="11.25" customHeight="1">
      <c r="A236" s="310" t="s">
        <v>16</v>
      </c>
      <c r="B236" t="s">
        <v>3437</v>
      </c>
      <c r="C236" t="s">
        <v>3438</v>
      </c>
      <c r="D236" t="s">
        <v>3466</v>
      </c>
      <c r="E236" t="s">
        <v>3467</v>
      </c>
      <c r="F236" t="s">
        <v>2830</v>
      </c>
      <c r="G236" t="s">
        <v>3468</v>
      </c>
    </row>
    <row r="237" spans="1:7" ht="11.25" customHeight="1">
      <c r="A237" s="310" t="s">
        <v>16</v>
      </c>
      <c r="B237" t="s">
        <v>3437</v>
      </c>
      <c r="C237" t="s">
        <v>3438</v>
      </c>
      <c r="D237" t="s">
        <v>3437</v>
      </c>
      <c r="E237" t="s">
        <v>3438</v>
      </c>
      <c r="F237" t="s">
        <v>2827</v>
      </c>
      <c r="G237" t="s">
        <v>3469</v>
      </c>
    </row>
    <row r="238" spans="1:7" ht="11.25" customHeight="1">
      <c r="A238" s="310" t="s">
        <v>16</v>
      </c>
      <c r="B238" t="s">
        <v>3437</v>
      </c>
      <c r="C238" t="s">
        <v>3438</v>
      </c>
      <c r="D238" t="s">
        <v>3470</v>
      </c>
      <c r="E238" t="s">
        <v>3471</v>
      </c>
      <c r="F238" t="s">
        <v>2830</v>
      </c>
      <c r="G238" t="s">
        <v>3472</v>
      </c>
    </row>
    <row r="239" spans="1:7" ht="11.25" customHeight="1">
      <c r="A239" s="310" t="s">
        <v>16</v>
      </c>
      <c r="B239" t="s">
        <v>3437</v>
      </c>
      <c r="C239" t="s">
        <v>3438</v>
      </c>
      <c r="D239" t="s">
        <v>3473</v>
      </c>
      <c r="E239" t="s">
        <v>3474</v>
      </c>
      <c r="F239" t="s">
        <v>2830</v>
      </c>
      <c r="G239" t="s">
        <v>3475</v>
      </c>
    </row>
    <row r="240" spans="1:7" ht="11.25" customHeight="1">
      <c r="A240" s="310" t="s">
        <v>16</v>
      </c>
      <c r="B240" t="s">
        <v>3437</v>
      </c>
      <c r="C240" t="s">
        <v>3438</v>
      </c>
      <c r="D240" t="s">
        <v>3476</v>
      </c>
      <c r="E240" t="s">
        <v>3477</v>
      </c>
      <c r="F240" t="s">
        <v>2830</v>
      </c>
      <c r="G240" t="s">
        <v>3478</v>
      </c>
    </row>
    <row r="241" spans="1:7" ht="11.25" customHeight="1">
      <c r="A241" s="310" t="s">
        <v>16</v>
      </c>
      <c r="B241" t="s">
        <v>3479</v>
      </c>
      <c r="C241" t="s">
        <v>3480</v>
      </c>
      <c r="D241" t="s">
        <v>3481</v>
      </c>
      <c r="E241" t="s">
        <v>3482</v>
      </c>
      <c r="F241" t="s">
        <v>2830</v>
      </c>
      <c r="G241" t="s">
        <v>3483</v>
      </c>
    </row>
    <row r="242" spans="1:7" ht="11.25" customHeight="1">
      <c r="A242" s="310" t="s">
        <v>16</v>
      </c>
      <c r="B242" t="s">
        <v>3479</v>
      </c>
      <c r="C242" t="s">
        <v>3480</v>
      </c>
      <c r="D242" t="s">
        <v>3484</v>
      </c>
      <c r="E242" t="s">
        <v>3485</v>
      </c>
      <c r="F242" t="s">
        <v>2830</v>
      </c>
      <c r="G242" t="s">
        <v>3486</v>
      </c>
    </row>
    <row r="243" spans="1:7" ht="11.25" customHeight="1">
      <c r="A243" s="310" t="s">
        <v>16</v>
      </c>
      <c r="B243" t="s">
        <v>3479</v>
      </c>
      <c r="C243" t="s">
        <v>3480</v>
      </c>
      <c r="D243" t="s">
        <v>3487</v>
      </c>
      <c r="E243" t="s">
        <v>3488</v>
      </c>
      <c r="F243" t="s">
        <v>2830</v>
      </c>
      <c r="G243" t="s">
        <v>3489</v>
      </c>
    </row>
    <row r="244" spans="1:7" ht="11.25" customHeight="1">
      <c r="A244" s="310" t="s">
        <v>16</v>
      </c>
      <c r="B244" t="s">
        <v>3479</v>
      </c>
      <c r="C244" t="s">
        <v>3480</v>
      </c>
      <c r="D244" t="s">
        <v>3490</v>
      </c>
      <c r="E244" t="s">
        <v>3491</v>
      </c>
      <c r="F244" t="s">
        <v>2830</v>
      </c>
      <c r="G244" t="s">
        <v>3492</v>
      </c>
    </row>
    <row r="245" spans="1:7" ht="11.25" customHeight="1">
      <c r="A245" s="310" t="s">
        <v>16</v>
      </c>
      <c r="B245" t="s">
        <v>3479</v>
      </c>
      <c r="C245" t="s">
        <v>3480</v>
      </c>
      <c r="D245" t="s">
        <v>3493</v>
      </c>
      <c r="E245" t="s">
        <v>3494</v>
      </c>
      <c r="F245" t="s">
        <v>2830</v>
      </c>
      <c r="G245" t="s">
        <v>3495</v>
      </c>
    </row>
    <row r="246" spans="1:7" ht="11.25" customHeight="1">
      <c r="A246" s="310" t="s">
        <v>16</v>
      </c>
      <c r="B246" t="s">
        <v>3479</v>
      </c>
      <c r="C246" t="s">
        <v>3480</v>
      </c>
      <c r="D246" t="s">
        <v>3496</v>
      </c>
      <c r="E246" t="s">
        <v>3497</v>
      </c>
      <c r="F246" t="s">
        <v>2830</v>
      </c>
      <c r="G246" t="s">
        <v>3498</v>
      </c>
    </row>
    <row r="247" spans="1:7" ht="11.25" customHeight="1">
      <c r="A247" s="310" t="s">
        <v>16</v>
      </c>
      <c r="B247" t="s">
        <v>3479</v>
      </c>
      <c r="C247" t="s">
        <v>3480</v>
      </c>
      <c r="D247" t="s">
        <v>3499</v>
      </c>
      <c r="E247" t="s">
        <v>3500</v>
      </c>
      <c r="F247" t="s">
        <v>2830</v>
      </c>
      <c r="G247" t="s">
        <v>3501</v>
      </c>
    </row>
    <row r="248" spans="1:7" ht="11.25" customHeight="1">
      <c r="A248" s="310" t="s">
        <v>16</v>
      </c>
      <c r="B248" t="s">
        <v>3479</v>
      </c>
      <c r="C248" t="s">
        <v>3480</v>
      </c>
      <c r="D248" t="s">
        <v>3502</v>
      </c>
      <c r="E248" t="s">
        <v>3503</v>
      </c>
      <c r="F248" t="s">
        <v>2830</v>
      </c>
      <c r="G248" t="s">
        <v>3504</v>
      </c>
    </row>
    <row r="249" spans="1:7" ht="11.25" customHeight="1">
      <c r="A249" s="310" t="s">
        <v>16</v>
      </c>
      <c r="B249" t="s">
        <v>3479</v>
      </c>
      <c r="C249" t="s">
        <v>3480</v>
      </c>
      <c r="D249" t="s">
        <v>3505</v>
      </c>
      <c r="E249" t="s">
        <v>3506</v>
      </c>
      <c r="F249" t="s">
        <v>2830</v>
      </c>
      <c r="G249" t="s">
        <v>3507</v>
      </c>
    </row>
    <row r="250" spans="1:7" ht="11.25" customHeight="1">
      <c r="A250" s="310" t="s">
        <v>16</v>
      </c>
      <c r="B250" t="s">
        <v>3479</v>
      </c>
      <c r="C250" t="s">
        <v>3480</v>
      </c>
      <c r="D250" t="s">
        <v>3508</v>
      </c>
      <c r="E250" t="s">
        <v>3509</v>
      </c>
      <c r="F250" t="s">
        <v>2830</v>
      </c>
      <c r="G250" t="s">
        <v>3510</v>
      </c>
    </row>
    <row r="251" spans="1:7" ht="11.25" customHeight="1">
      <c r="A251" s="310" t="s">
        <v>16</v>
      </c>
      <c r="B251" t="s">
        <v>3479</v>
      </c>
      <c r="C251" t="s">
        <v>3480</v>
      </c>
      <c r="D251" t="s">
        <v>3511</v>
      </c>
      <c r="E251" t="s">
        <v>3512</v>
      </c>
      <c r="F251" t="s">
        <v>2830</v>
      </c>
      <c r="G251" t="s">
        <v>3513</v>
      </c>
    </row>
    <row r="252" spans="1:7" ht="11.25" customHeight="1">
      <c r="A252" s="310" t="s">
        <v>16</v>
      </c>
      <c r="B252" t="s">
        <v>3479</v>
      </c>
      <c r="C252" t="s">
        <v>3480</v>
      </c>
      <c r="D252" t="s">
        <v>3514</v>
      </c>
      <c r="E252" t="s">
        <v>3515</v>
      </c>
      <c r="F252" t="s">
        <v>2830</v>
      </c>
      <c r="G252" t="s">
        <v>3516</v>
      </c>
    </row>
    <row r="253" spans="1:7" ht="11.25" customHeight="1">
      <c r="A253" s="310" t="s">
        <v>16</v>
      </c>
      <c r="B253" t="s">
        <v>3479</v>
      </c>
      <c r="C253" t="s">
        <v>3480</v>
      </c>
      <c r="D253" t="s">
        <v>3479</v>
      </c>
      <c r="E253" t="s">
        <v>3480</v>
      </c>
      <c r="F253" t="s">
        <v>2827</v>
      </c>
      <c r="G253" t="s">
        <v>3517</v>
      </c>
    </row>
    <row r="254" spans="1:7" ht="11.25" customHeight="1">
      <c r="A254" s="310" t="s">
        <v>16</v>
      </c>
      <c r="B254" t="s">
        <v>3479</v>
      </c>
      <c r="C254" t="s">
        <v>3480</v>
      </c>
      <c r="D254" t="s">
        <v>3518</v>
      </c>
      <c r="E254" t="s">
        <v>3519</v>
      </c>
      <c r="F254" t="s">
        <v>2830</v>
      </c>
      <c r="G254" t="s">
        <v>3520</v>
      </c>
    </row>
    <row r="255" spans="1:7" ht="11.25" customHeight="1">
      <c r="A255" s="310" t="s">
        <v>16</v>
      </c>
      <c r="B255" t="s">
        <v>3479</v>
      </c>
      <c r="C255" t="s">
        <v>3480</v>
      </c>
      <c r="D255" t="s">
        <v>3521</v>
      </c>
      <c r="E255" t="s">
        <v>3522</v>
      </c>
      <c r="F255" t="s">
        <v>2830</v>
      </c>
      <c r="G255" t="s">
        <v>3523</v>
      </c>
    </row>
    <row r="256" spans="1:7" ht="11.25" customHeight="1">
      <c r="A256" s="310" t="s">
        <v>16</v>
      </c>
      <c r="B256" t="s">
        <v>3524</v>
      </c>
      <c r="C256" t="s">
        <v>3525</v>
      </c>
      <c r="D256" t="s">
        <v>3526</v>
      </c>
      <c r="E256" t="s">
        <v>3527</v>
      </c>
      <c r="F256" t="s">
        <v>2830</v>
      </c>
      <c r="G256" t="s">
        <v>3528</v>
      </c>
    </row>
    <row r="257" spans="1:7" ht="11.25" customHeight="1">
      <c r="A257" s="310" t="s">
        <v>16</v>
      </c>
      <c r="B257" t="s">
        <v>3524</v>
      </c>
      <c r="C257" t="s">
        <v>3525</v>
      </c>
      <c r="D257" t="s">
        <v>3529</v>
      </c>
      <c r="E257" t="s">
        <v>3530</v>
      </c>
      <c r="F257" t="s">
        <v>2830</v>
      </c>
      <c r="G257" t="s">
        <v>3531</v>
      </c>
    </row>
    <row r="258" spans="1:7" ht="11.25" customHeight="1">
      <c r="A258" s="310" t="s">
        <v>16</v>
      </c>
      <c r="B258" t="s">
        <v>3524</v>
      </c>
      <c r="C258" t="s">
        <v>3525</v>
      </c>
      <c r="D258" t="s">
        <v>3532</v>
      </c>
      <c r="E258" t="s">
        <v>3533</v>
      </c>
      <c r="F258" t="s">
        <v>2830</v>
      </c>
      <c r="G258" t="s">
        <v>3534</v>
      </c>
    </row>
    <row r="259" spans="1:7" ht="11.25" customHeight="1">
      <c r="A259" s="310" t="s">
        <v>16</v>
      </c>
      <c r="B259" t="s">
        <v>3524</v>
      </c>
      <c r="C259" t="s">
        <v>3525</v>
      </c>
      <c r="D259" t="s">
        <v>3535</v>
      </c>
      <c r="E259" t="s">
        <v>3536</v>
      </c>
      <c r="F259" t="s">
        <v>2830</v>
      </c>
      <c r="G259" t="s">
        <v>3537</v>
      </c>
    </row>
    <row r="260" spans="1:7" ht="11.25" customHeight="1">
      <c r="A260" s="310" t="s">
        <v>16</v>
      </c>
      <c r="B260" t="s">
        <v>3524</v>
      </c>
      <c r="C260" t="s">
        <v>3525</v>
      </c>
      <c r="D260" t="s">
        <v>3538</v>
      </c>
      <c r="E260" t="s">
        <v>3539</v>
      </c>
      <c r="F260" t="s">
        <v>2830</v>
      </c>
      <c r="G260" t="s">
        <v>3540</v>
      </c>
    </row>
    <row r="261" spans="1:7" ht="11.25" customHeight="1">
      <c r="A261" s="310" t="s">
        <v>16</v>
      </c>
      <c r="B261" t="s">
        <v>3524</v>
      </c>
      <c r="C261" t="s">
        <v>3525</v>
      </c>
      <c r="D261" t="s">
        <v>3541</v>
      </c>
      <c r="E261" t="s">
        <v>3542</v>
      </c>
      <c r="F261" t="s">
        <v>2830</v>
      </c>
      <c r="G261" t="s">
        <v>3543</v>
      </c>
    </row>
    <row r="262" spans="1:7" ht="11.25" customHeight="1">
      <c r="A262" s="310" t="s">
        <v>16</v>
      </c>
      <c r="B262" t="s">
        <v>3524</v>
      </c>
      <c r="C262" t="s">
        <v>3525</v>
      </c>
      <c r="D262" t="s">
        <v>3544</v>
      </c>
      <c r="E262" t="s">
        <v>3545</v>
      </c>
      <c r="F262" t="s">
        <v>2830</v>
      </c>
      <c r="G262" t="s">
        <v>3546</v>
      </c>
    </row>
    <row r="263" spans="1:7" ht="11.25" customHeight="1">
      <c r="A263" s="310" t="s">
        <v>16</v>
      </c>
      <c r="B263" t="s">
        <v>3524</v>
      </c>
      <c r="C263" t="s">
        <v>3525</v>
      </c>
      <c r="D263" t="s">
        <v>3547</v>
      </c>
      <c r="E263" t="s">
        <v>3548</v>
      </c>
      <c r="F263" t="s">
        <v>2830</v>
      </c>
      <c r="G263" t="s">
        <v>3549</v>
      </c>
    </row>
    <row r="264" spans="1:7" ht="11.25" customHeight="1">
      <c r="A264" s="310" t="s">
        <v>16</v>
      </c>
      <c r="B264" t="s">
        <v>3524</v>
      </c>
      <c r="C264" t="s">
        <v>3525</v>
      </c>
      <c r="D264" t="s">
        <v>3550</v>
      </c>
      <c r="E264" t="s">
        <v>3551</v>
      </c>
      <c r="F264" t="s">
        <v>2830</v>
      </c>
      <c r="G264" t="s">
        <v>3552</v>
      </c>
    </row>
    <row r="265" spans="1:7" ht="11.25" customHeight="1">
      <c r="A265" s="310" t="s">
        <v>16</v>
      </c>
      <c r="B265" t="s">
        <v>3524</v>
      </c>
      <c r="C265" t="s">
        <v>3525</v>
      </c>
      <c r="D265" t="s">
        <v>3524</v>
      </c>
      <c r="E265" t="s">
        <v>3525</v>
      </c>
      <c r="F265" t="s">
        <v>2827</v>
      </c>
      <c r="G265" t="s">
        <v>3553</v>
      </c>
    </row>
    <row r="266" spans="1:7" ht="11.25" customHeight="1">
      <c r="A266" s="310" t="s">
        <v>16</v>
      </c>
      <c r="B266" t="s">
        <v>3524</v>
      </c>
      <c r="C266" t="s">
        <v>3525</v>
      </c>
      <c r="D266" t="s">
        <v>3554</v>
      </c>
      <c r="E266" t="s">
        <v>3555</v>
      </c>
      <c r="F266" t="s">
        <v>2830</v>
      </c>
      <c r="G266" t="s">
        <v>3556</v>
      </c>
    </row>
    <row r="267" spans="1:7" ht="11.25" customHeight="1">
      <c r="A267" s="310" t="s">
        <v>16</v>
      </c>
      <c r="B267" t="s">
        <v>3557</v>
      </c>
      <c r="C267" t="s">
        <v>3558</v>
      </c>
      <c r="D267" t="s">
        <v>3559</v>
      </c>
      <c r="E267" t="s">
        <v>3560</v>
      </c>
      <c r="F267" t="s">
        <v>2830</v>
      </c>
      <c r="G267" t="s">
        <v>3561</v>
      </c>
    </row>
    <row r="268" spans="1:7" ht="11.25" customHeight="1">
      <c r="A268" s="310" t="s">
        <v>16</v>
      </c>
      <c r="B268" t="s">
        <v>3557</v>
      </c>
      <c r="C268" t="s">
        <v>3558</v>
      </c>
      <c r="D268" t="s">
        <v>3562</v>
      </c>
      <c r="E268" t="s">
        <v>3563</v>
      </c>
      <c r="F268" t="s">
        <v>2830</v>
      </c>
      <c r="G268" t="s">
        <v>3564</v>
      </c>
    </row>
    <row r="269" spans="1:7" ht="11.25" customHeight="1">
      <c r="A269" s="310" t="s">
        <v>16</v>
      </c>
      <c r="B269" t="s">
        <v>3557</v>
      </c>
      <c r="C269" t="s">
        <v>3558</v>
      </c>
      <c r="D269" t="s">
        <v>3565</v>
      </c>
      <c r="E269" t="s">
        <v>3566</v>
      </c>
      <c r="F269" t="s">
        <v>2830</v>
      </c>
      <c r="G269" t="s">
        <v>3567</v>
      </c>
    </row>
    <row r="270" spans="1:7" ht="11.25" customHeight="1">
      <c r="A270" s="310" t="s">
        <v>16</v>
      </c>
      <c r="B270" t="s">
        <v>3557</v>
      </c>
      <c r="C270" t="s">
        <v>3558</v>
      </c>
      <c r="D270" t="s">
        <v>3568</v>
      </c>
      <c r="E270" t="s">
        <v>3569</v>
      </c>
      <c r="F270" t="s">
        <v>2830</v>
      </c>
      <c r="G270" t="s">
        <v>3570</v>
      </c>
    </row>
    <row r="271" spans="1:7" ht="11.25" customHeight="1">
      <c r="A271" s="310" t="s">
        <v>16</v>
      </c>
      <c r="B271" t="s">
        <v>3557</v>
      </c>
      <c r="C271" t="s">
        <v>3558</v>
      </c>
      <c r="D271" t="s">
        <v>2855</v>
      </c>
      <c r="E271" t="s">
        <v>3571</v>
      </c>
      <c r="F271" t="s">
        <v>2830</v>
      </c>
      <c r="G271" t="s">
        <v>3572</v>
      </c>
    </row>
    <row r="272" spans="1:7" ht="11.25" customHeight="1">
      <c r="A272" s="310" t="s">
        <v>16</v>
      </c>
      <c r="B272" t="s">
        <v>3557</v>
      </c>
      <c r="C272" t="s">
        <v>3558</v>
      </c>
      <c r="D272" t="s">
        <v>3573</v>
      </c>
      <c r="E272" t="s">
        <v>3574</v>
      </c>
      <c r="F272" t="s">
        <v>2830</v>
      </c>
      <c r="G272" t="s">
        <v>3575</v>
      </c>
    </row>
    <row r="273" spans="1:7" ht="11.25" customHeight="1">
      <c r="A273" s="310" t="s">
        <v>16</v>
      </c>
      <c r="B273" t="s">
        <v>3557</v>
      </c>
      <c r="C273" t="s">
        <v>3558</v>
      </c>
      <c r="D273" t="s">
        <v>3576</v>
      </c>
      <c r="E273" t="s">
        <v>3577</v>
      </c>
      <c r="F273" t="s">
        <v>2830</v>
      </c>
      <c r="G273" t="s">
        <v>3578</v>
      </c>
    </row>
    <row r="274" spans="1:7" ht="11.25" customHeight="1">
      <c r="A274" s="310" t="s">
        <v>16</v>
      </c>
      <c r="B274" t="s">
        <v>3557</v>
      </c>
      <c r="C274" t="s">
        <v>3558</v>
      </c>
      <c r="D274" t="s">
        <v>3579</v>
      </c>
      <c r="E274" t="s">
        <v>3580</v>
      </c>
      <c r="F274" t="s">
        <v>2830</v>
      </c>
      <c r="G274" t="s">
        <v>3581</v>
      </c>
    </row>
    <row r="275" spans="1:7" ht="11.25" customHeight="1">
      <c r="A275" s="310" t="s">
        <v>16</v>
      </c>
      <c r="B275" t="s">
        <v>3557</v>
      </c>
      <c r="C275" t="s">
        <v>3558</v>
      </c>
      <c r="D275" t="s">
        <v>3582</v>
      </c>
      <c r="E275" t="s">
        <v>3583</v>
      </c>
      <c r="F275" t="s">
        <v>2830</v>
      </c>
      <c r="G275" t="s">
        <v>3584</v>
      </c>
    </row>
    <row r="276" spans="1:7" ht="11.25" customHeight="1">
      <c r="A276" s="310" t="s">
        <v>16</v>
      </c>
      <c r="B276" t="s">
        <v>3557</v>
      </c>
      <c r="C276" t="s">
        <v>3558</v>
      </c>
      <c r="D276" t="s">
        <v>3585</v>
      </c>
      <c r="E276" t="s">
        <v>3586</v>
      </c>
      <c r="F276" t="s">
        <v>2830</v>
      </c>
      <c r="G276" t="s">
        <v>3587</v>
      </c>
    </row>
    <row r="277" spans="1:7" ht="11.25" customHeight="1">
      <c r="A277" s="310" t="s">
        <v>16</v>
      </c>
      <c r="B277" t="s">
        <v>3557</v>
      </c>
      <c r="C277" t="s">
        <v>3558</v>
      </c>
      <c r="D277" t="s">
        <v>3588</v>
      </c>
      <c r="E277" t="s">
        <v>3589</v>
      </c>
      <c r="F277" t="s">
        <v>2830</v>
      </c>
      <c r="G277" t="s">
        <v>3590</v>
      </c>
    </row>
    <row r="278" spans="1:7" ht="11.25" customHeight="1">
      <c r="A278" s="310" t="s">
        <v>16</v>
      </c>
      <c r="B278" t="s">
        <v>3557</v>
      </c>
      <c r="C278" t="s">
        <v>3558</v>
      </c>
      <c r="D278" t="s">
        <v>3591</v>
      </c>
      <c r="E278" t="s">
        <v>3592</v>
      </c>
      <c r="F278" t="s">
        <v>2830</v>
      </c>
      <c r="G278" t="s">
        <v>3593</v>
      </c>
    </row>
    <row r="279" spans="1:7" ht="11.25" customHeight="1">
      <c r="A279" s="310" t="s">
        <v>16</v>
      </c>
      <c r="B279" t="s">
        <v>3557</v>
      </c>
      <c r="C279" t="s">
        <v>3558</v>
      </c>
      <c r="D279" t="s">
        <v>3594</v>
      </c>
      <c r="E279" t="s">
        <v>3595</v>
      </c>
      <c r="F279" t="s">
        <v>2830</v>
      </c>
      <c r="G279" t="s">
        <v>3596</v>
      </c>
    </row>
    <row r="280" spans="1:7" ht="11.25" customHeight="1">
      <c r="A280" s="310" t="s">
        <v>16</v>
      </c>
      <c r="B280" t="s">
        <v>3557</v>
      </c>
      <c r="C280" t="s">
        <v>3558</v>
      </c>
      <c r="D280" t="s">
        <v>3597</v>
      </c>
      <c r="E280" t="s">
        <v>3598</v>
      </c>
      <c r="F280" t="s">
        <v>2830</v>
      </c>
      <c r="G280" t="s">
        <v>3599</v>
      </c>
    </row>
    <row r="281" spans="1:7" ht="11.25" customHeight="1">
      <c r="A281" s="310" t="s">
        <v>16</v>
      </c>
      <c r="B281" t="s">
        <v>3557</v>
      </c>
      <c r="C281" t="s">
        <v>3558</v>
      </c>
      <c r="D281" t="s">
        <v>3600</v>
      </c>
      <c r="E281" t="s">
        <v>3601</v>
      </c>
      <c r="F281" t="s">
        <v>2830</v>
      </c>
      <c r="G281" t="s">
        <v>3602</v>
      </c>
    </row>
    <row r="282" spans="1:7" ht="11.25" customHeight="1">
      <c r="A282" s="310" t="s">
        <v>16</v>
      </c>
      <c r="B282" t="s">
        <v>3557</v>
      </c>
      <c r="C282" t="s">
        <v>3558</v>
      </c>
      <c r="D282" t="s">
        <v>3557</v>
      </c>
      <c r="E282" t="s">
        <v>3558</v>
      </c>
      <c r="F282" t="s">
        <v>2827</v>
      </c>
      <c r="G282" t="s">
        <v>3603</v>
      </c>
    </row>
    <row r="283" spans="1:7" ht="11.25" customHeight="1">
      <c r="A283" s="310" t="s">
        <v>16</v>
      </c>
      <c r="B283" t="s">
        <v>3604</v>
      </c>
      <c r="C283" t="s">
        <v>3605</v>
      </c>
      <c r="D283" t="s">
        <v>3606</v>
      </c>
      <c r="E283" t="s">
        <v>3607</v>
      </c>
      <c r="F283" t="s">
        <v>2830</v>
      </c>
      <c r="G283" t="s">
        <v>3608</v>
      </c>
    </row>
    <row r="284" spans="1:7" ht="11.25" customHeight="1">
      <c r="A284" s="310" t="s">
        <v>16</v>
      </c>
      <c r="B284" t="s">
        <v>3604</v>
      </c>
      <c r="C284" t="s">
        <v>3605</v>
      </c>
      <c r="D284" t="s">
        <v>3609</v>
      </c>
      <c r="E284" t="s">
        <v>3610</v>
      </c>
      <c r="F284" t="s">
        <v>2830</v>
      </c>
      <c r="G284" t="s">
        <v>3611</v>
      </c>
    </row>
    <row r="285" spans="1:7" ht="11.25" customHeight="1">
      <c r="A285" s="310" t="s">
        <v>16</v>
      </c>
      <c r="B285" t="s">
        <v>3604</v>
      </c>
      <c r="C285" t="s">
        <v>3605</v>
      </c>
      <c r="D285" t="s">
        <v>2923</v>
      </c>
      <c r="E285" t="s">
        <v>3612</v>
      </c>
      <c r="F285" t="s">
        <v>2830</v>
      </c>
      <c r="G285" t="s">
        <v>3613</v>
      </c>
    </row>
    <row r="286" spans="1:7" ht="11.25" customHeight="1">
      <c r="A286" s="310" t="s">
        <v>16</v>
      </c>
      <c r="B286" t="s">
        <v>3604</v>
      </c>
      <c r="C286" t="s">
        <v>3605</v>
      </c>
      <c r="D286" t="s">
        <v>3614</v>
      </c>
      <c r="E286" t="s">
        <v>3615</v>
      </c>
      <c r="F286" t="s">
        <v>2830</v>
      </c>
      <c r="G286" t="s">
        <v>3616</v>
      </c>
    </row>
    <row r="287" spans="1:7" ht="11.25" customHeight="1">
      <c r="A287" s="310" t="s">
        <v>16</v>
      </c>
      <c r="B287" t="s">
        <v>3604</v>
      </c>
      <c r="C287" t="s">
        <v>3605</v>
      </c>
      <c r="D287" t="s">
        <v>3617</v>
      </c>
      <c r="E287" t="s">
        <v>3618</v>
      </c>
      <c r="F287" t="s">
        <v>2830</v>
      </c>
      <c r="G287" t="s">
        <v>3619</v>
      </c>
    </row>
    <row r="288" spans="1:7" ht="11.25" customHeight="1">
      <c r="A288" s="310" t="s">
        <v>16</v>
      </c>
      <c r="B288" t="s">
        <v>3604</v>
      </c>
      <c r="C288" t="s">
        <v>3605</v>
      </c>
      <c r="D288" t="s">
        <v>3620</v>
      </c>
      <c r="E288" t="s">
        <v>3621</v>
      </c>
      <c r="F288" t="s">
        <v>2830</v>
      </c>
      <c r="G288" t="s">
        <v>3622</v>
      </c>
    </row>
    <row r="289" spans="1:7" ht="11.25" customHeight="1">
      <c r="A289" s="310" t="s">
        <v>16</v>
      </c>
      <c r="B289" t="s">
        <v>3604</v>
      </c>
      <c r="C289" t="s">
        <v>3605</v>
      </c>
      <c r="D289" t="s">
        <v>3623</v>
      </c>
      <c r="E289" t="s">
        <v>3624</v>
      </c>
      <c r="F289" t="s">
        <v>2830</v>
      </c>
      <c r="G289" t="s">
        <v>3625</v>
      </c>
    </row>
    <row r="290" spans="1:7" ht="11.25" customHeight="1">
      <c r="A290" s="310" t="s">
        <v>16</v>
      </c>
      <c r="B290" t="s">
        <v>3604</v>
      </c>
      <c r="C290" t="s">
        <v>3605</v>
      </c>
      <c r="D290" t="s">
        <v>3626</v>
      </c>
      <c r="E290" t="s">
        <v>3627</v>
      </c>
      <c r="F290" t="s">
        <v>2830</v>
      </c>
      <c r="G290" t="s">
        <v>3628</v>
      </c>
    </row>
    <row r="291" spans="1:7" ht="11.25" customHeight="1">
      <c r="A291" s="310" t="s">
        <v>16</v>
      </c>
      <c r="B291" t="s">
        <v>3604</v>
      </c>
      <c r="C291" t="s">
        <v>3605</v>
      </c>
      <c r="D291" t="s">
        <v>3299</v>
      </c>
      <c r="E291" t="s">
        <v>3629</v>
      </c>
      <c r="F291" t="s">
        <v>2830</v>
      </c>
      <c r="G291" t="s">
        <v>3630</v>
      </c>
    </row>
    <row r="292" spans="1:7" ht="11.25" customHeight="1">
      <c r="A292" s="310" t="s">
        <v>16</v>
      </c>
      <c r="B292" t="s">
        <v>3604</v>
      </c>
      <c r="C292" t="s">
        <v>3605</v>
      </c>
      <c r="D292" t="s">
        <v>3303</v>
      </c>
      <c r="E292" t="s">
        <v>3631</v>
      </c>
      <c r="F292" t="s">
        <v>2830</v>
      </c>
      <c r="G292" t="s">
        <v>3632</v>
      </c>
    </row>
    <row r="293" spans="1:7" ht="11.25" customHeight="1">
      <c r="A293" s="310" t="s">
        <v>16</v>
      </c>
      <c r="B293" t="s">
        <v>3604</v>
      </c>
      <c r="C293" t="s">
        <v>3605</v>
      </c>
      <c r="D293" t="s">
        <v>3633</v>
      </c>
      <c r="E293" t="s">
        <v>3634</v>
      </c>
      <c r="F293" t="s">
        <v>2830</v>
      </c>
      <c r="G293" t="s">
        <v>3635</v>
      </c>
    </row>
    <row r="294" spans="1:7" ht="11.25" customHeight="1">
      <c r="A294" s="310" t="s">
        <v>16</v>
      </c>
      <c r="B294" t="s">
        <v>3604</v>
      </c>
      <c r="C294" t="s">
        <v>3605</v>
      </c>
      <c r="D294" t="s">
        <v>3636</v>
      </c>
      <c r="E294" t="s">
        <v>3637</v>
      </c>
      <c r="F294" t="s">
        <v>2830</v>
      </c>
      <c r="G294" t="s">
        <v>3638</v>
      </c>
    </row>
    <row r="295" spans="1:7" ht="11.25" customHeight="1">
      <c r="A295" s="310" t="s">
        <v>16</v>
      </c>
      <c r="B295" t="s">
        <v>3604</v>
      </c>
      <c r="C295" t="s">
        <v>3605</v>
      </c>
      <c r="D295" t="s">
        <v>3639</v>
      </c>
      <c r="E295" t="s">
        <v>3640</v>
      </c>
      <c r="F295" t="s">
        <v>2830</v>
      </c>
      <c r="G295" t="s">
        <v>3641</v>
      </c>
    </row>
    <row r="296" spans="1:7" ht="11.25" customHeight="1">
      <c r="A296" s="310" t="s">
        <v>16</v>
      </c>
      <c r="B296" t="s">
        <v>3604</v>
      </c>
      <c r="C296" t="s">
        <v>3605</v>
      </c>
      <c r="D296" t="s">
        <v>3604</v>
      </c>
      <c r="E296" t="s">
        <v>3605</v>
      </c>
      <c r="F296" t="s">
        <v>2827</v>
      </c>
      <c r="G296" t="s">
        <v>3642</v>
      </c>
    </row>
    <row r="297" spans="1:7" ht="11.25" customHeight="1">
      <c r="A297" s="310" t="s">
        <v>16</v>
      </c>
      <c r="B297" t="s">
        <v>3604</v>
      </c>
      <c r="C297" t="s">
        <v>3605</v>
      </c>
      <c r="D297" t="s">
        <v>3643</v>
      </c>
      <c r="E297" t="s">
        <v>3644</v>
      </c>
      <c r="F297" t="s">
        <v>2830</v>
      </c>
      <c r="G297" t="s">
        <v>3645</v>
      </c>
    </row>
    <row r="298" spans="1:7" ht="11.25" customHeight="1">
      <c r="A298" s="310" t="s">
        <v>16</v>
      </c>
      <c r="B298" t="s">
        <v>3646</v>
      </c>
      <c r="C298" t="s">
        <v>3647</v>
      </c>
      <c r="D298" t="s">
        <v>3646</v>
      </c>
      <c r="E298" t="s">
        <v>3647</v>
      </c>
      <c r="F298" t="s">
        <v>3005</v>
      </c>
      <c r="G298" t="s">
        <v>3648</v>
      </c>
    </row>
    <row r="299" spans="1:7" ht="11.25" customHeight="1">
      <c r="A299" s="310" t="s">
        <v>16</v>
      </c>
      <c r="B299" t="s">
        <v>3649</v>
      </c>
      <c r="C299" t="s">
        <v>3650</v>
      </c>
      <c r="D299" t="s">
        <v>3649</v>
      </c>
      <c r="E299" t="s">
        <v>3650</v>
      </c>
      <c r="F299" t="s">
        <v>3005</v>
      </c>
      <c r="G299" t="s">
        <v>3651</v>
      </c>
    </row>
    <row r="300" spans="1:7" ht="11.25" customHeight="1">
      <c r="A300" s="310" t="s">
        <v>16</v>
      </c>
      <c r="B300" t="s">
        <v>105</v>
      </c>
      <c r="C300" t="s">
        <v>106</v>
      </c>
      <c r="D300" t="s">
        <v>105</v>
      </c>
      <c r="E300" t="s">
        <v>106</v>
      </c>
      <c r="F300" t="s">
        <v>3005</v>
      </c>
      <c r="G300" t="s">
        <v>104</v>
      </c>
    </row>
    <row r="301" spans="1:7" ht="11.25" customHeight="1">
      <c r="A301" s="310" t="s">
        <v>16</v>
      </c>
      <c r="B301" t="s">
        <v>3652</v>
      </c>
      <c r="C301" t="s">
        <v>3653</v>
      </c>
      <c r="D301" t="s">
        <v>3652</v>
      </c>
      <c r="E301" t="s">
        <v>3653</v>
      </c>
      <c r="F301" t="s">
        <v>3005</v>
      </c>
      <c r="G301" t="s">
        <v>3654</v>
      </c>
    </row>
  </sheetData>
  <sheetProtection insertRows="0" deleteColumns="0" deleteRows="0" sort="0" autoFilter="0"/>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I13"/>
  <sheetViews>
    <sheetView showGridLines="0" workbookViewId="0"/>
  </sheetViews>
  <sheetFormatPr defaultColWidth="9.140625" defaultRowHeight="11.25" customHeight="1"/>
  <cols>
    <col min="1" max="1" width="13.85546875" style="1618" customWidth="1"/>
    <col min="2" max="2" width="10.42578125" style="1618" customWidth="1"/>
    <col min="3" max="3" width="7.5703125" style="1618" customWidth="1"/>
    <col min="4" max="4" width="13.85546875" style="1618" customWidth="1"/>
    <col min="5" max="5" width="11.5703125" style="1618" customWidth="1"/>
    <col min="6" max="6" width="16.28515625" style="1618" customWidth="1"/>
    <col min="7" max="7" width="16" style="1618" customWidth="1"/>
    <col min="8" max="9" width="16.140625" style="1618" customWidth="1"/>
  </cols>
  <sheetData>
    <row r="1" spans="1:9" ht="11.25" customHeight="1">
      <c r="A1" s="766" t="s">
        <v>3655</v>
      </c>
      <c r="B1" s="766" t="s">
        <v>3656</v>
      </c>
      <c r="C1" s="1086" t="s">
        <v>3657</v>
      </c>
      <c r="D1" s="766" t="s">
        <v>3658</v>
      </c>
      <c r="E1" s="766" t="s">
        <v>3659</v>
      </c>
      <c r="F1" s="1086" t="s">
        <v>3660</v>
      </c>
      <c r="G1" s="1086" t="s">
        <v>3661</v>
      </c>
      <c r="H1" s="1086" t="s">
        <v>3662</v>
      </c>
      <c r="I1" s="1086" t="s">
        <v>3663</v>
      </c>
    </row>
    <row r="2" spans="1:9" ht="11.25" customHeight="1">
      <c r="A2" s="1618" t="s">
        <v>114</v>
      </c>
      <c r="B2" s="1618" t="s">
        <v>3664</v>
      </c>
      <c r="C2" s="1618" t="s">
        <v>30</v>
      </c>
      <c r="D2" s="1618" t="s">
        <v>3665</v>
      </c>
      <c r="E2" s="1618" t="s">
        <v>3666</v>
      </c>
      <c r="F2" s="1618" t="s">
        <v>30</v>
      </c>
      <c r="G2" s="1618" t="s">
        <v>30</v>
      </c>
      <c r="H2" s="1618" t="s">
        <v>30</v>
      </c>
      <c r="I2" s="1618" t="s">
        <v>30</v>
      </c>
    </row>
    <row r="3" spans="1:9" ht="11.25" customHeight="1">
      <c r="A3" s="1618" t="s">
        <v>115</v>
      </c>
      <c r="B3" s="1618" t="s">
        <v>3667</v>
      </c>
      <c r="C3" s="1618" t="s">
        <v>30</v>
      </c>
      <c r="D3" s="1618" t="s">
        <v>3665</v>
      </c>
      <c r="E3" s="1618" t="s">
        <v>3668</v>
      </c>
      <c r="F3" s="1618" t="s">
        <v>30</v>
      </c>
      <c r="G3" s="1618" t="s">
        <v>30</v>
      </c>
      <c r="H3" s="1618" t="s">
        <v>30</v>
      </c>
      <c r="I3" s="1618" t="s">
        <v>30</v>
      </c>
    </row>
    <row r="4" spans="1:9" ht="11.25" customHeight="1">
      <c r="A4" s="1618" t="s">
        <v>95</v>
      </c>
      <c r="B4" s="1618" t="s">
        <v>3669</v>
      </c>
      <c r="C4" s="1618" t="s">
        <v>30</v>
      </c>
      <c r="D4" s="1618" t="s">
        <v>3670</v>
      </c>
      <c r="E4" s="1618" t="s">
        <v>3671</v>
      </c>
      <c r="F4" s="1618" t="s">
        <v>30</v>
      </c>
      <c r="G4" s="1618" t="s">
        <v>30</v>
      </c>
      <c r="H4" s="1618" t="s">
        <v>30</v>
      </c>
      <c r="I4" s="1618" t="s">
        <v>30</v>
      </c>
    </row>
    <row r="5" spans="1:9" ht="11.25" customHeight="1">
      <c r="A5" s="1618" t="s">
        <v>96</v>
      </c>
      <c r="B5" s="1618" t="s">
        <v>3672</v>
      </c>
      <c r="C5" s="1618" t="s">
        <v>30</v>
      </c>
      <c r="D5" s="1618" t="s">
        <v>3670</v>
      </c>
      <c r="E5" s="1618" t="s">
        <v>3673</v>
      </c>
      <c r="F5" s="1618" t="s">
        <v>30</v>
      </c>
      <c r="G5" s="1618" t="s">
        <v>30</v>
      </c>
      <c r="H5" s="1618" t="s">
        <v>30</v>
      </c>
      <c r="I5" s="1618" t="s">
        <v>30</v>
      </c>
    </row>
    <row r="6" spans="1:9" ht="11.25" customHeight="1">
      <c r="A6" s="1618" t="s">
        <v>116</v>
      </c>
      <c r="B6" s="1618" t="s">
        <v>3674</v>
      </c>
      <c r="C6" s="1618" t="s">
        <v>30</v>
      </c>
      <c r="D6" s="1618" t="s">
        <v>3670</v>
      </c>
      <c r="E6" s="1618" t="s">
        <v>3673</v>
      </c>
      <c r="F6" s="1618" t="s">
        <v>30</v>
      </c>
      <c r="G6" s="1618" t="s">
        <v>30</v>
      </c>
      <c r="H6" s="1618" t="s">
        <v>30</v>
      </c>
      <c r="I6" s="1618" t="s">
        <v>30</v>
      </c>
    </row>
    <row r="7" spans="1:9" ht="11.25" customHeight="1">
      <c r="A7" s="1618" t="s">
        <v>97</v>
      </c>
      <c r="B7" s="1618" t="s">
        <v>3675</v>
      </c>
      <c r="C7" s="1618" t="s">
        <v>30</v>
      </c>
      <c r="D7" s="1618" t="s">
        <v>3676</v>
      </c>
      <c r="E7" s="1618" t="s">
        <v>3668</v>
      </c>
      <c r="F7" s="1618" t="s">
        <v>30</v>
      </c>
      <c r="G7" s="1618" t="s">
        <v>30</v>
      </c>
      <c r="H7" s="1618" t="s">
        <v>30</v>
      </c>
      <c r="I7" s="1618" t="s">
        <v>30</v>
      </c>
    </row>
    <row r="8" spans="1:9" ht="11.25" customHeight="1">
      <c r="A8" s="1618" t="s">
        <v>98</v>
      </c>
      <c r="B8" s="1618" t="s">
        <v>3677</v>
      </c>
      <c r="C8" s="1618" t="s">
        <v>30</v>
      </c>
      <c r="D8" s="1618" t="s">
        <v>3676</v>
      </c>
      <c r="E8" s="1618" t="s">
        <v>3666</v>
      </c>
      <c r="F8" s="1618" t="s">
        <v>30</v>
      </c>
      <c r="G8" s="1618" t="s">
        <v>30</v>
      </c>
      <c r="H8" s="1618" t="s">
        <v>30</v>
      </c>
      <c r="I8" s="1618" t="s">
        <v>30</v>
      </c>
    </row>
    <row r="9" spans="1:9" ht="11.25" customHeight="1">
      <c r="A9" s="1618" t="s">
        <v>117</v>
      </c>
      <c r="B9" s="1618" t="s">
        <v>3678</v>
      </c>
      <c r="C9" s="1618" t="s">
        <v>30</v>
      </c>
      <c r="D9" s="1618" t="s">
        <v>3676</v>
      </c>
      <c r="E9" s="1618" t="s">
        <v>3666</v>
      </c>
      <c r="F9" s="1618" t="s">
        <v>30</v>
      </c>
      <c r="G9" s="1618" t="s">
        <v>30</v>
      </c>
      <c r="H9" s="1618" t="s">
        <v>30</v>
      </c>
      <c r="I9" s="1618" t="s">
        <v>30</v>
      </c>
    </row>
    <row r="10" spans="1:9" ht="11.25" customHeight="1">
      <c r="A10" s="1618" t="s">
        <v>153</v>
      </c>
      <c r="B10" s="1618" t="s">
        <v>3679</v>
      </c>
      <c r="C10" s="1618" t="s">
        <v>30</v>
      </c>
      <c r="D10" s="1618" t="s">
        <v>3680</v>
      </c>
      <c r="E10" s="1618" t="s">
        <v>3681</v>
      </c>
      <c r="F10" s="1618" t="s">
        <v>30</v>
      </c>
      <c r="G10" s="1618" t="s">
        <v>30</v>
      </c>
      <c r="H10" s="1618" t="s">
        <v>30</v>
      </c>
      <c r="I10" s="1618" t="s">
        <v>30</v>
      </c>
    </row>
    <row r="11" spans="1:9" ht="11.25" customHeight="1">
      <c r="A11" s="1618" t="s">
        <v>154</v>
      </c>
      <c r="B11" s="1618" t="s">
        <v>3682</v>
      </c>
      <c r="C11" s="1618" t="s">
        <v>30</v>
      </c>
      <c r="D11" s="1618" t="s">
        <v>3680</v>
      </c>
      <c r="E11" s="1618" t="s">
        <v>3681</v>
      </c>
      <c r="F11" s="1618" t="s">
        <v>30</v>
      </c>
      <c r="G11" s="1618" t="s">
        <v>30</v>
      </c>
      <c r="H11" s="1618" t="s">
        <v>30</v>
      </c>
      <c r="I11" s="1618" t="s">
        <v>30</v>
      </c>
    </row>
    <row r="12" spans="1:9" ht="11.25" customHeight="1">
      <c r="A12" s="1618" t="s">
        <v>155</v>
      </c>
      <c r="B12" s="1618" t="s">
        <v>3683</v>
      </c>
      <c r="C12" s="1618" t="s">
        <v>30</v>
      </c>
      <c r="D12" s="1618" t="s">
        <v>3676</v>
      </c>
      <c r="E12" s="1618" t="s">
        <v>3666</v>
      </c>
      <c r="F12" s="1618" t="s">
        <v>30</v>
      </c>
      <c r="G12" s="1618" t="s">
        <v>30</v>
      </c>
      <c r="H12" s="1618" t="s">
        <v>30</v>
      </c>
      <c r="I12" s="1618" t="s">
        <v>30</v>
      </c>
    </row>
    <row r="13" spans="1:9" ht="11.25" customHeight="1">
      <c r="A13" s="1618" t="s">
        <v>156</v>
      </c>
      <c r="B13" s="1618" t="s">
        <v>3684</v>
      </c>
      <c r="C13" s="1618" t="s">
        <v>30</v>
      </c>
      <c r="D13" s="1618" t="s">
        <v>3685</v>
      </c>
      <c r="E13" s="1618" t="s">
        <v>26</v>
      </c>
      <c r="F13" s="1618" t="s">
        <v>30</v>
      </c>
      <c r="G13" s="1618" t="s">
        <v>30</v>
      </c>
      <c r="H13" s="1618" t="s">
        <v>30</v>
      </c>
      <c r="I13" s="1618" t="s">
        <v>30</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workbookViewId="0"/>
  </sheetViews>
  <sheetFormatPr defaultRowHeight="11.25" customHeight="1"/>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AT18"/>
  <sheetViews>
    <sheetView showGridLines="0" zoomScale="90" workbookViewId="0">
      <pane xSplit="5" ySplit="11" topLeftCell="F12" activePane="bottomRight" state="frozen"/>
      <selection pane="topRight" activeCell="F1" sqref="F1"/>
      <selection pane="bottomLeft" activeCell="A12" sqref="A12"/>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48" style="1562" customWidth="1"/>
    <col min="6" max="6" width="38" style="1562" customWidth="1"/>
    <col min="7" max="7" width="1.7109375" style="1562" hidden="1" customWidth="1"/>
    <col min="8" max="11" width="19.85546875" style="1562" customWidth="1"/>
    <col min="12" max="12" width="9.7109375" style="1562" customWidth="1"/>
    <col min="13" max="18" width="19.85546875" style="1562" customWidth="1"/>
    <col min="19" max="19" width="1.7109375" style="1562" hidden="1" customWidth="1"/>
    <col min="20" max="22" width="19.85546875" style="1562" hidden="1" customWidth="1"/>
    <col min="23" max="23" width="1.7109375" style="1562" hidden="1" customWidth="1"/>
    <col min="24" max="26" width="19.85546875" style="1562" hidden="1" customWidth="1"/>
    <col min="27" max="27" width="1.7109375" style="1562" hidden="1" customWidth="1"/>
    <col min="28" max="29" width="19.85546875" style="1562" hidden="1" customWidth="1"/>
    <col min="30" max="30" width="1.7109375" style="1562" hidden="1" customWidth="1"/>
    <col min="31" max="31" width="103.7109375" style="1562" customWidth="1"/>
    <col min="32" max="34" width="103.7109375" style="1562" hidden="1" customWidth="1"/>
    <col min="35" max="35" width="3" style="1745" customWidth="1"/>
    <col min="36" max="38" width="10" style="1569" customWidth="1"/>
    <col min="39" max="39" width="13.7109375" style="1569" hidden="1" customWidth="1"/>
    <col min="40" max="40" width="15" style="1569" customWidth="1"/>
    <col min="41" max="41" width="16" style="1569" customWidth="1"/>
    <col min="42" max="45" width="10" style="1569" customWidth="1"/>
    <col min="46" max="46" width="10.5703125" style="1562" hidden="1"/>
  </cols>
  <sheetData>
    <row r="1" spans="1:46" ht="22.5" hidden="1" customHeight="1">
      <c r="E1" s="349"/>
      <c r="F1" s="349"/>
      <c r="G1" s="349"/>
      <c r="H1" s="2874" t="s">
        <v>397</v>
      </c>
      <c r="I1" s="2874"/>
      <c r="J1" s="2874"/>
      <c r="K1" s="2874"/>
      <c r="L1" s="2874"/>
      <c r="M1" s="2874"/>
      <c r="N1" s="2874"/>
      <c r="O1" s="2874"/>
      <c r="P1" s="2874"/>
      <c r="Q1" s="2874"/>
      <c r="R1" s="2874"/>
      <c r="T1" s="2874" t="s">
        <v>398</v>
      </c>
      <c r="U1" s="2874"/>
      <c r="V1" s="2874"/>
      <c r="X1" s="2874" t="s">
        <v>399</v>
      </c>
      <c r="Y1" s="2874"/>
      <c r="Z1" s="2874"/>
      <c r="AB1" s="2874" t="s">
        <v>400</v>
      </c>
      <c r="AC1" s="2874"/>
      <c r="AT1" s="384" t="s">
        <v>14</v>
      </c>
    </row>
    <row r="2" spans="1:46" ht="14.25" hidden="1" customHeight="1">
      <c r="AT2" s="384">
        <v>0</v>
      </c>
    </row>
    <row r="3" spans="1:46" s="1540" customFormat="1" ht="5.25" customHeight="1">
      <c r="C3" s="638"/>
      <c r="D3" s="639"/>
      <c r="E3" s="639"/>
      <c r="F3" s="639"/>
      <c r="G3" s="639"/>
      <c r="H3" s="639" t="s">
        <v>401</v>
      </c>
      <c r="I3" s="639"/>
      <c r="J3" s="639"/>
      <c r="K3" s="639"/>
      <c r="L3" s="639"/>
      <c r="M3" s="639"/>
      <c r="N3" s="639"/>
      <c r="O3" s="639"/>
      <c r="P3" s="639"/>
      <c r="Q3" s="639"/>
      <c r="R3" s="639"/>
      <c r="S3" s="639"/>
      <c r="T3" s="639"/>
      <c r="U3" s="639"/>
      <c r="V3" s="639"/>
      <c r="W3" s="639"/>
      <c r="X3" s="639"/>
      <c r="Y3" s="639"/>
      <c r="Z3" s="639"/>
      <c r="AA3" s="639"/>
      <c r="AB3" s="639"/>
      <c r="AC3" s="639"/>
      <c r="AD3" s="639"/>
      <c r="AE3" s="639"/>
      <c r="AF3" s="639"/>
      <c r="AG3" s="639"/>
      <c r="AH3" s="639"/>
      <c r="AJ3" s="448"/>
      <c r="AK3" s="448"/>
      <c r="AL3" s="448"/>
      <c r="AM3" s="448"/>
      <c r="AN3" s="448"/>
      <c r="AO3" s="448"/>
      <c r="AP3" s="448"/>
      <c r="AQ3" s="448"/>
      <c r="AR3" s="448"/>
      <c r="AS3" s="448"/>
      <c r="AT3" s="637">
        <v>5</v>
      </c>
    </row>
    <row r="4" spans="1:46" ht="39.75" customHeight="1">
      <c r="C4" s="387"/>
      <c r="D4" s="2810" t="str">
        <f>ORG_VD_NAME_FORM</f>
        <v>Форма 2. Общая информация об объектах теплоснабжения регулируемой организации, единой теплоснабжающей организации в ценовых зонах теплоснабжения, теплоснабжающей организации в ценовых зонах теплоснабжения и теплосетевой организации в ценовых зонах теплоснабжения</v>
      </c>
      <c r="E4" s="2811"/>
      <c r="F4" s="2811"/>
      <c r="G4" s="2811"/>
      <c r="H4" s="2811"/>
      <c r="I4" s="2811"/>
      <c r="J4" s="2811"/>
      <c r="K4" s="2811"/>
      <c r="L4" s="2811"/>
      <c r="M4" s="2811"/>
      <c r="N4" s="2811"/>
      <c r="O4" s="2811"/>
      <c r="P4" s="2811"/>
      <c r="Q4" s="2811"/>
      <c r="R4" s="2812"/>
      <c r="S4" s="784"/>
      <c r="T4" s="636"/>
      <c r="U4" s="636"/>
      <c r="V4" s="636"/>
      <c r="W4" s="636"/>
      <c r="X4" s="636"/>
      <c r="Y4" s="636"/>
      <c r="Z4" s="636"/>
      <c r="AA4" s="636"/>
      <c r="AB4" s="636"/>
      <c r="AC4" s="636"/>
      <c r="AD4" s="636"/>
      <c r="AE4" s="428"/>
      <c r="AF4" s="428"/>
      <c r="AG4" s="428"/>
      <c r="AH4" s="428"/>
      <c r="AI4" s="425"/>
      <c r="AT4" s="384">
        <v>38</v>
      </c>
    </row>
    <row r="5" spans="1:46" s="1562" customFormat="1" ht="18" customHeight="1">
      <c r="A5" s="694"/>
      <c r="C5" s="753"/>
      <c r="D5" s="2871" t="str">
        <f>IF(org=0,"Не определено",org)</f>
        <v>ТМУП "ТТС"</v>
      </c>
      <c r="E5" s="2872"/>
      <c r="F5" s="2872"/>
      <c r="G5" s="2872"/>
      <c r="H5" s="2872"/>
      <c r="I5" s="2872"/>
      <c r="J5" s="2872"/>
      <c r="K5" s="2872"/>
      <c r="L5" s="2872"/>
      <c r="M5" s="2872"/>
      <c r="N5" s="2872"/>
      <c r="O5" s="2872"/>
      <c r="P5" s="2872"/>
      <c r="Q5" s="2872"/>
      <c r="R5" s="2873"/>
      <c r="S5" s="784"/>
      <c r="T5" s="636"/>
      <c r="U5" s="636"/>
      <c r="V5" s="636"/>
      <c r="W5" s="636"/>
      <c r="X5" s="636"/>
      <c r="Y5" s="636"/>
      <c r="Z5" s="636"/>
      <c r="AA5" s="636"/>
      <c r="AB5" s="636"/>
      <c r="AC5" s="636"/>
      <c r="AD5" s="636"/>
      <c r="AE5" s="428"/>
      <c r="AF5" s="428"/>
      <c r="AG5" s="428"/>
      <c r="AH5" s="428"/>
      <c r="AI5" s="425"/>
      <c r="AJ5" s="448"/>
      <c r="AK5" s="448"/>
      <c r="AL5" s="448"/>
      <c r="AM5" s="448"/>
      <c r="AN5" s="448"/>
      <c r="AO5" s="448"/>
      <c r="AP5" s="448"/>
      <c r="AQ5" s="448"/>
      <c r="AR5" s="448"/>
      <c r="AS5" s="448"/>
      <c r="AT5" s="693">
        <v>17</v>
      </c>
    </row>
    <row r="6" spans="1:46" s="1539" customFormat="1" ht="11.25" customHeight="1">
      <c r="A6" s="416"/>
      <c r="C6" s="423"/>
      <c r="D6" s="422"/>
      <c r="E6" s="422"/>
      <c r="F6" s="422"/>
      <c r="G6" s="422"/>
      <c r="H6" s="422"/>
      <c r="I6" s="422"/>
      <c r="J6" s="422"/>
      <c r="K6" s="422"/>
      <c r="L6" s="422"/>
      <c r="M6" s="422"/>
      <c r="N6" s="422"/>
      <c r="O6" s="422"/>
      <c r="P6" s="422"/>
      <c r="Q6" s="422"/>
      <c r="R6" s="689"/>
      <c r="S6" s="689"/>
      <c r="T6" s="422"/>
      <c r="U6" s="422"/>
      <c r="V6" s="649"/>
      <c r="W6" s="649"/>
      <c r="X6" s="422"/>
      <c r="Y6" s="422"/>
      <c r="Z6" s="649"/>
      <c r="AA6" s="649"/>
      <c r="AB6" s="422"/>
      <c r="AC6" s="649"/>
      <c r="AD6" s="649"/>
      <c r="AE6" s="422"/>
      <c r="AF6" s="422"/>
      <c r="AG6" s="422"/>
      <c r="AH6" s="422"/>
      <c r="AJ6" s="426"/>
      <c r="AK6" s="426"/>
      <c r="AL6" s="426"/>
      <c r="AM6" s="426"/>
      <c r="AN6" s="426"/>
      <c r="AO6" s="426"/>
      <c r="AP6" s="426"/>
      <c r="AQ6" s="426"/>
      <c r="AR6" s="426"/>
      <c r="AS6" s="426"/>
      <c r="AT6" s="417">
        <v>11</v>
      </c>
    </row>
    <row r="7" spans="1:46" ht="15" customHeight="1">
      <c r="C7" s="387"/>
      <c r="D7" s="2862" t="s">
        <v>345</v>
      </c>
      <c r="E7" s="2875"/>
      <c r="F7" s="2875"/>
      <c r="G7" s="2875"/>
      <c r="H7" s="2875"/>
      <c r="I7" s="2875"/>
      <c r="J7" s="2875"/>
      <c r="K7" s="2875"/>
      <c r="L7" s="2875"/>
      <c r="M7" s="2875"/>
      <c r="N7" s="2875"/>
      <c r="O7" s="2875"/>
      <c r="P7" s="2875"/>
      <c r="Q7" s="2875"/>
      <c r="R7" s="2875"/>
      <c r="S7" s="2875"/>
      <c r="T7" s="2875"/>
      <c r="U7" s="2875"/>
      <c r="V7" s="2875"/>
      <c r="W7" s="2875"/>
      <c r="X7" s="2875"/>
      <c r="Y7" s="2875"/>
      <c r="Z7" s="2875"/>
      <c r="AA7" s="2875"/>
      <c r="AB7" s="2875"/>
      <c r="AC7" s="2875"/>
      <c r="AD7" s="2876"/>
      <c r="AE7" s="2817" t="s">
        <v>346</v>
      </c>
      <c r="AF7" s="2817" t="s">
        <v>346</v>
      </c>
      <c r="AG7" s="2817" t="s">
        <v>346</v>
      </c>
      <c r="AH7" s="2817" t="s">
        <v>346</v>
      </c>
      <c r="AT7" s="384">
        <v>14</v>
      </c>
    </row>
    <row r="8" spans="1:46" ht="27" customHeight="1">
      <c r="C8" s="387"/>
      <c r="D8" s="2758" t="s">
        <v>93</v>
      </c>
      <c r="E8" s="2817" t="str">
        <f>"Наименование "&amp;IF(TEMPLATE_SPHERE&lt;&gt;"HEAT","централизованной ","")&amp;"системы "&amp;TEMPLATE_SPHERE_RUS</f>
        <v>Наименование системы теплоснабжения</v>
      </c>
      <c r="F8" s="2817" t="str">
        <f>IF(TEMPLATE_SPHERE&lt;&gt;"HEAT","Регулируемый вид деятельности","Вид регулируемой деятельности")</f>
        <v>Вид регулируемой деятельности</v>
      </c>
      <c r="G8" s="759"/>
      <c r="H8" s="2863" t="s">
        <v>402</v>
      </c>
      <c r="I8" s="2867" t="s">
        <v>403</v>
      </c>
      <c r="J8" s="2817" t="s">
        <v>404</v>
      </c>
      <c r="K8" s="2817"/>
      <c r="L8" s="2817"/>
      <c r="M8" s="2862"/>
      <c r="N8" s="2817" t="s">
        <v>405</v>
      </c>
      <c r="O8" s="2817"/>
      <c r="P8" s="2817" t="s">
        <v>406</v>
      </c>
      <c r="Q8" s="2817"/>
      <c r="R8" s="2865" t="s">
        <v>407</v>
      </c>
      <c r="S8" s="755"/>
      <c r="T8" s="2863" t="s">
        <v>408</v>
      </c>
      <c r="U8" s="2863" t="s">
        <v>409</v>
      </c>
      <c r="V8" s="2863" t="s">
        <v>410</v>
      </c>
      <c r="W8" s="757"/>
      <c r="X8" s="2863" t="s">
        <v>411</v>
      </c>
      <c r="Y8" s="2863" t="s">
        <v>412</v>
      </c>
      <c r="Z8" s="2863" t="s">
        <v>413</v>
      </c>
      <c r="AA8" s="757"/>
      <c r="AB8" s="2863" t="s">
        <v>414</v>
      </c>
      <c r="AC8" s="2863" t="s">
        <v>407</v>
      </c>
      <c r="AD8" s="757"/>
      <c r="AE8" s="2817"/>
      <c r="AF8" s="2817"/>
      <c r="AG8" s="2817"/>
      <c r="AH8" s="2817"/>
      <c r="AT8" s="384">
        <v>26</v>
      </c>
    </row>
    <row r="9" spans="1:46" ht="46.5" customHeight="1">
      <c r="C9" s="387"/>
      <c r="D9" s="2758"/>
      <c r="E9" s="2817"/>
      <c r="F9" s="2817"/>
      <c r="G9" s="760"/>
      <c r="H9" s="2864"/>
      <c r="I9" s="2868"/>
      <c r="J9" s="362" t="s">
        <v>415</v>
      </c>
      <c r="K9" s="362" t="s">
        <v>416</v>
      </c>
      <c r="L9" s="362" t="s">
        <v>417</v>
      </c>
      <c r="M9" s="368" t="s">
        <v>418</v>
      </c>
      <c r="N9" s="362" t="s">
        <v>419</v>
      </c>
      <c r="O9" s="362" t="s">
        <v>418</v>
      </c>
      <c r="P9" s="362" t="s">
        <v>420</v>
      </c>
      <c r="Q9" s="362" t="s">
        <v>418</v>
      </c>
      <c r="R9" s="2866"/>
      <c r="S9" s="756"/>
      <c r="T9" s="2864"/>
      <c r="U9" s="2864"/>
      <c r="V9" s="2864"/>
      <c r="W9" s="758"/>
      <c r="X9" s="2864"/>
      <c r="Y9" s="2864"/>
      <c r="Z9" s="2864"/>
      <c r="AA9" s="758"/>
      <c r="AB9" s="2864"/>
      <c r="AC9" s="2864"/>
      <c r="AD9" s="758"/>
      <c r="AE9" s="2817"/>
      <c r="AF9" s="2817"/>
      <c r="AG9" s="2817"/>
      <c r="AH9" s="2817"/>
      <c r="AT9" s="384">
        <v>44</v>
      </c>
    </row>
    <row r="10" spans="1:46" ht="12" hidden="1" customHeight="1">
      <c r="C10" s="424"/>
      <c r="D10" s="385"/>
      <c r="E10" s="385"/>
      <c r="F10" s="385"/>
      <c r="G10" s="385"/>
      <c r="H10" s="385"/>
      <c r="I10" s="385"/>
      <c r="J10" s="385"/>
      <c r="K10" s="385"/>
      <c r="L10" s="385"/>
      <c r="M10" s="385"/>
      <c r="N10" s="385"/>
      <c r="O10" s="385"/>
      <c r="P10" s="385"/>
      <c r="Q10" s="385"/>
      <c r="R10" s="385"/>
      <c r="S10" s="385"/>
      <c r="T10" s="385"/>
      <c r="U10" s="385"/>
      <c r="V10" s="385"/>
      <c r="W10" s="385"/>
      <c r="X10" s="385"/>
      <c r="Y10" s="385"/>
      <c r="Z10" s="385"/>
      <c r="AA10" s="385"/>
      <c r="AB10" s="385"/>
      <c r="AC10" s="385"/>
      <c r="AD10" s="385"/>
      <c r="AE10" s="385"/>
      <c r="AF10" s="385"/>
      <c r="AG10" s="385"/>
      <c r="AH10" s="385"/>
      <c r="AI10" s="384"/>
      <c r="AP10" s="437"/>
      <c r="AQ10" s="437"/>
      <c r="AT10" s="384">
        <v>0</v>
      </c>
    </row>
    <row r="11" spans="1:46" s="1568" customFormat="1" ht="11.25" hidden="1" customHeight="1">
      <c r="C11" s="435"/>
      <c r="D11" s="436" t="s">
        <v>421</v>
      </c>
      <c r="E11" s="436"/>
      <c r="F11" s="436"/>
      <c r="G11" s="436"/>
      <c r="H11" s="434"/>
      <c r="I11" s="434"/>
      <c r="J11" s="434"/>
      <c r="K11" s="434"/>
      <c r="L11" s="434"/>
      <c r="M11" s="434"/>
      <c r="N11" s="434"/>
      <c r="O11" s="434"/>
      <c r="P11" s="434"/>
      <c r="Q11" s="434"/>
      <c r="R11" s="434"/>
      <c r="S11" s="434"/>
      <c r="T11" s="434"/>
      <c r="U11" s="434"/>
      <c r="V11" s="434"/>
      <c r="W11" s="434"/>
      <c r="X11" s="434"/>
      <c r="Y11" s="434"/>
      <c r="Z11" s="434"/>
      <c r="AA11" s="434"/>
      <c r="AB11" s="434"/>
      <c r="AC11" s="434"/>
      <c r="AD11" s="434"/>
      <c r="AE11" s="372"/>
      <c r="AF11" s="372"/>
      <c r="AG11" s="372"/>
      <c r="AH11" s="372"/>
      <c r="AJ11" s="426"/>
      <c r="AK11" s="426"/>
      <c r="AL11" s="426"/>
      <c r="AM11" s="426"/>
      <c r="AN11" s="426"/>
      <c r="AO11" s="426"/>
      <c r="AP11" s="426"/>
      <c r="AQ11" s="426"/>
      <c r="AR11" s="426"/>
      <c r="AS11" s="426"/>
      <c r="AT11" s="433">
        <v>0</v>
      </c>
    </row>
    <row r="12" spans="1:46" ht="15" customHeight="1">
      <c r="A12" s="384"/>
      <c r="C12" s="387"/>
      <c r="D12" s="371" t="s">
        <v>114</v>
      </c>
      <c r="E12" s="1703" t="s">
        <v>30</v>
      </c>
      <c r="F12" s="786"/>
      <c r="G12" s="787"/>
      <c r="H12" s="1704"/>
      <c r="I12" s="1704"/>
      <c r="J12" s="370"/>
      <c r="K12" s="1788"/>
      <c r="L12" s="369"/>
      <c r="M12" s="1788"/>
      <c r="N12" s="370"/>
      <c r="O12" s="1788"/>
      <c r="P12" s="370"/>
      <c r="Q12" s="1788"/>
      <c r="R12" s="370"/>
      <c r="S12" s="785"/>
      <c r="T12" s="1704"/>
      <c r="U12" s="370"/>
      <c r="V12" s="370"/>
      <c r="W12" s="758"/>
      <c r="X12" s="1704"/>
      <c r="Y12" s="370"/>
      <c r="Z12" s="370"/>
      <c r="AA12" s="758"/>
      <c r="AB12" s="1704"/>
      <c r="AC12" s="370"/>
      <c r="AD12" s="758"/>
      <c r="AE12" s="2869" t="s">
        <v>422</v>
      </c>
      <c r="AF12" s="2869" t="s">
        <v>423</v>
      </c>
      <c r="AG12" s="2869" t="s">
        <v>424</v>
      </c>
      <c r="AH12" s="2869" t="s">
        <v>425</v>
      </c>
      <c r="AI12" s="384"/>
      <c r="AM12" s="448"/>
      <c r="AP12" s="437" t="s">
        <v>426</v>
      </c>
      <c r="AQ12" s="437" t="s">
        <v>426</v>
      </c>
      <c r="AT12" s="384">
        <v>14</v>
      </c>
    </row>
    <row r="13" spans="1:46" ht="18" customHeight="1">
      <c r="A13" s="384"/>
      <c r="C13" s="387"/>
      <c r="D13" s="342"/>
      <c r="E13" s="800" t="str">
        <f>IF(TITLE_DIFFERENTIATION_TYPE="нет","","Добавить систему")</f>
        <v/>
      </c>
      <c r="F13" s="800" t="str">
        <f>IF(TITLE_DIFFERENTIATION_TYPE="нет","Добавить вид деятельности","")</f>
        <v>Добавить вид деятельности</v>
      </c>
      <c r="G13" s="251"/>
      <c r="H13" s="343"/>
      <c r="I13" s="343"/>
      <c r="J13" s="343"/>
      <c r="K13" s="343"/>
      <c r="L13" s="343"/>
      <c r="M13" s="343"/>
      <c r="N13" s="343"/>
      <c r="O13" s="343"/>
      <c r="P13" s="343"/>
      <c r="Q13" s="343"/>
      <c r="R13" s="343"/>
      <c r="S13" s="343"/>
      <c r="T13" s="343"/>
      <c r="U13" s="343"/>
      <c r="V13" s="343"/>
      <c r="W13" s="343"/>
      <c r="X13" s="343"/>
      <c r="Y13" s="343"/>
      <c r="Z13" s="343"/>
      <c r="AA13" s="343"/>
      <c r="AB13" s="343"/>
      <c r="AC13" s="343"/>
      <c r="AD13" s="788"/>
      <c r="AE13" s="2870"/>
      <c r="AF13" s="2870"/>
      <c r="AG13" s="2870"/>
      <c r="AH13" s="2870"/>
      <c r="AI13" s="384"/>
      <c r="AT13" s="384">
        <v>17</v>
      </c>
    </row>
    <row r="14" spans="1:46" ht="15" customHeight="1">
      <c r="AI14" s="384"/>
      <c r="AT14" s="384">
        <v>14</v>
      </c>
    </row>
    <row r="15" spans="1:46" ht="15" customHeight="1">
      <c r="E15" s="693"/>
      <c r="L15" s="693"/>
      <c r="AT15" s="384">
        <v>14</v>
      </c>
    </row>
    <row r="16" spans="1:46" ht="15" customHeight="1">
      <c r="L16" s="693"/>
      <c r="AT16" s="384">
        <v>14</v>
      </c>
    </row>
    <row r="17" spans="1:46" ht="15" customHeight="1">
      <c r="L17" s="693"/>
      <c r="AT17" s="384">
        <v>14</v>
      </c>
    </row>
    <row r="18" spans="1:46" ht="22.5" hidden="1" customHeight="1">
      <c r="A18" s="386" t="s">
        <v>87</v>
      </c>
      <c r="B18" s="384">
        <v>0</v>
      </c>
      <c r="C18" s="388">
        <v>3</v>
      </c>
      <c r="D18" s="384">
        <v>5</v>
      </c>
      <c r="E18" s="384">
        <v>48</v>
      </c>
      <c r="F18" s="384">
        <v>38</v>
      </c>
      <c r="G18" s="693">
        <v>0</v>
      </c>
      <c r="H18" s="384">
        <v>0</v>
      </c>
      <c r="I18" s="384">
        <v>0</v>
      </c>
      <c r="J18" s="384">
        <v>0</v>
      </c>
      <c r="K18" s="384">
        <v>0</v>
      </c>
      <c r="L18" s="384">
        <v>0</v>
      </c>
      <c r="M18" s="384">
        <v>0</v>
      </c>
      <c r="N18" s="384">
        <v>0</v>
      </c>
      <c r="O18" s="384">
        <v>0</v>
      </c>
      <c r="P18" s="384">
        <v>0</v>
      </c>
      <c r="Q18" s="384">
        <v>0</v>
      </c>
      <c r="R18" s="384">
        <v>0</v>
      </c>
      <c r="S18" s="693">
        <v>0</v>
      </c>
      <c r="T18" s="442">
        <v>0</v>
      </c>
      <c r="U18" s="442">
        <v>0</v>
      </c>
      <c r="V18" s="442">
        <v>0</v>
      </c>
      <c r="W18" s="693">
        <v>0</v>
      </c>
      <c r="X18" s="442">
        <v>0</v>
      </c>
      <c r="Y18" s="442">
        <v>0</v>
      </c>
      <c r="Z18" s="442">
        <v>0</v>
      </c>
      <c r="AA18" s="693">
        <v>0</v>
      </c>
      <c r="AB18" s="442">
        <v>0</v>
      </c>
      <c r="AC18" s="442">
        <v>0</v>
      </c>
      <c r="AD18" s="693">
        <v>0</v>
      </c>
      <c r="AE18" s="384">
        <v>0</v>
      </c>
      <c r="AF18" s="442">
        <v>0</v>
      </c>
      <c r="AG18" s="442">
        <v>0</v>
      </c>
      <c r="AH18" s="442">
        <v>0</v>
      </c>
      <c r="AI18" s="389">
        <v>3</v>
      </c>
      <c r="AJ18" s="426">
        <v>10</v>
      </c>
      <c r="AK18" s="426">
        <v>10</v>
      </c>
      <c r="AL18" s="426">
        <v>10</v>
      </c>
      <c r="AM18" s="426">
        <v>0</v>
      </c>
      <c r="AN18" s="426">
        <v>15</v>
      </c>
      <c r="AO18" s="426">
        <v>16</v>
      </c>
      <c r="AP18" s="426">
        <v>10</v>
      </c>
      <c r="AQ18" s="426">
        <v>10</v>
      </c>
      <c r="AR18" s="426">
        <v>10</v>
      </c>
      <c r="AS18" s="426">
        <v>10</v>
      </c>
      <c r="AT18" s="384">
        <v>23</v>
      </c>
    </row>
  </sheetData>
  <sheetProtection formatColumns="0" formatRows="0" insertRows="0" deleteColumns="0" deleteRows="0" sort="0" autoFilter="0"/>
  <mergeCells count="32">
    <mergeCell ref="D5:R5"/>
    <mergeCell ref="H1:R1"/>
    <mergeCell ref="D7:AD7"/>
    <mergeCell ref="X1:Z1"/>
    <mergeCell ref="T1:V1"/>
    <mergeCell ref="AB1:AC1"/>
    <mergeCell ref="D4:R4"/>
    <mergeCell ref="AE12:AE13"/>
    <mergeCell ref="AG7:AG9"/>
    <mergeCell ref="AG12:AG13"/>
    <mergeCell ref="AH7:AH9"/>
    <mergeCell ref="AH12:AH13"/>
    <mergeCell ref="AF12:AF13"/>
    <mergeCell ref="AF7:AF9"/>
    <mergeCell ref="AE7:AE9"/>
    <mergeCell ref="D8:D9"/>
    <mergeCell ref="E8:E9"/>
    <mergeCell ref="F8:F9"/>
    <mergeCell ref="H8:H9"/>
    <mergeCell ref="I8:I9"/>
    <mergeCell ref="J8:M8"/>
    <mergeCell ref="N8:O8"/>
    <mergeCell ref="AB8:AB9"/>
    <mergeCell ref="AC8:AC9"/>
    <mergeCell ref="T8:T9"/>
    <mergeCell ref="U8:U9"/>
    <mergeCell ref="V8:V9"/>
    <mergeCell ref="P8:Q8"/>
    <mergeCell ref="R8:R9"/>
    <mergeCell ref="X8:X9"/>
    <mergeCell ref="Y8:Y9"/>
    <mergeCell ref="Z8:Z9"/>
  </mergeCells>
  <dataValidations count="6">
    <dataValidation type="list" allowBlank="1" showInputMessage="1" showErrorMessage="1" errorTitle="Ошибка" error="Выберите значение из списка" prompt="Выберите значение из списка" sqref="L12">
      <formula1>kind_of_power_te_unit</formula1>
    </dataValidation>
    <dataValidation type="whole" allowBlank="1" showErrorMessage="1" errorTitle="Ошибка" error="Допускается ввод только неотрицательных целых чисел!" sqref="N12 P12 U12:V12 Y12:Z12 J12 R12:S12 AC12">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F12"/>
    <dataValidation type="textLength" operator="lessThanOrEqual" allowBlank="1" showInputMessage="1" showErrorMessage="1" errorTitle="Ошибка" error="Допускается ввод не более 900 символов!" sqref="E12">
      <formula1>900</formula1>
    </dataValidation>
    <dataValidation type="decimal" allowBlank="1" showErrorMessage="1" errorTitle="Ошибка" error="Допускается ввод только неотрицательных чисел!" sqref="H11:AD11 T12 H12:I12 AB12 X12 K12 M12 O12 Q12">
      <formula1>0</formula1>
      <formula2>9.99999999999999E+23</formula2>
    </dataValidation>
    <dataValidation allowBlank="1" showErrorMessage="1" errorTitle="Ошибка" error="Допускается ввод только неотрицательных чисел!" sqref="E11:G11"/>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
  <sheetViews>
    <sheetView showGridLines="0" workbookViewId="0"/>
  </sheetViews>
  <sheetFormatPr defaultColWidth="9.140625" defaultRowHeight="11.25" customHeight="1"/>
  <cols>
    <col min="1" max="2" width="9.140625" style="121"/>
  </cols>
  <sheetData>
    <row r="1" spans="1:2" ht="11.25" customHeight="1">
      <c r="A1" s="121" t="s">
        <v>135</v>
      </c>
      <c r="B1" s="121" t="s">
        <v>3686</v>
      </c>
    </row>
    <row r="2" spans="1:2" ht="11.25" customHeight="1">
      <c r="A2" s="4" t="s">
        <v>103</v>
      </c>
      <c r="B2" s="4" t="s">
        <v>3687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3688</v>
      </c>
      <c r="B1" s="766" t="s">
        <v>3689</v>
      </c>
    </row>
    <row r="2" spans="1:2" ht="11.25" customHeight="1">
      <c r="A2" s="766">
        <v>4213775</v>
      </c>
      <c r="B2" s="766" t="s">
        <v>1268</v>
      </c>
    </row>
    <row r="3" spans="1:2" ht="11.25" customHeight="1">
      <c r="A3" s="766">
        <v>4213784</v>
      </c>
      <c r="B3" s="766" t="s">
        <v>1299</v>
      </c>
    </row>
    <row r="4" spans="1:2" ht="11.25" customHeight="1">
      <c r="A4" s="766">
        <v>4213781</v>
      </c>
      <c r="B4" s="766" t="s">
        <v>1292</v>
      </c>
    </row>
    <row r="5" spans="1:2" ht="11.25" customHeight="1">
      <c r="A5" s="766">
        <v>4213776</v>
      </c>
      <c r="B5" s="766" t="s">
        <v>213</v>
      </c>
    </row>
    <row r="6" spans="1:2" ht="11.25" customHeight="1">
      <c r="A6" s="766">
        <v>4213777</v>
      </c>
      <c r="B6" s="766" t="s">
        <v>219</v>
      </c>
    </row>
    <row r="7" spans="1:2" ht="11.25" customHeight="1">
      <c r="A7" s="766">
        <v>4213778</v>
      </c>
      <c r="B7" s="766" t="s">
        <v>225</v>
      </c>
    </row>
    <row r="8" spans="1:2" ht="11.25" customHeight="1">
      <c r="A8" s="766">
        <v>4213780</v>
      </c>
      <c r="B8" s="766" t="s">
        <v>231</v>
      </c>
    </row>
    <row r="9" spans="1:2" ht="11.25" customHeight="1">
      <c r="A9" s="766">
        <v>4213779</v>
      </c>
      <c r="B9" s="766" t="s">
        <v>1432</v>
      </c>
    </row>
    <row r="10" spans="1:2" ht="11.25" customHeight="1">
      <c r="A10" s="766">
        <v>4213783</v>
      </c>
      <c r="B10" s="766" t="s">
        <v>1447</v>
      </c>
    </row>
    <row r="11" spans="1:2" ht="11.25" customHeight="1">
      <c r="A11" s="766">
        <v>4213782</v>
      </c>
      <c r="B11" s="766" t="s">
        <v>237</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1"/>
  <sheetViews>
    <sheetView showGridLines="0" workbookViewId="0"/>
  </sheetViews>
  <sheetFormatPr defaultColWidth="9.140625" defaultRowHeight="11.25" customHeight="1"/>
  <cols>
    <col min="1" max="1" width="9.140625" style="1618"/>
    <col min="2" max="2" width="65.28515625" style="1618" customWidth="1"/>
  </cols>
  <sheetData>
    <row r="1" spans="1:2" ht="11.25" customHeight="1">
      <c r="A1" s="766" t="s">
        <v>3688</v>
      </c>
      <c r="B1" s="766" t="s">
        <v>3690</v>
      </c>
    </row>
    <row r="2" spans="1:2" ht="11.25" customHeight="1">
      <c r="A2" s="766" t="s">
        <v>3691</v>
      </c>
      <c r="B2" s="766" t="s">
        <v>1545</v>
      </c>
    </row>
    <row r="3" spans="1:2" ht="11.25" customHeight="1">
      <c r="A3" s="766" t="s">
        <v>3692</v>
      </c>
      <c r="B3" s="766" t="s">
        <v>1555</v>
      </c>
    </row>
    <row r="4" spans="1:2" ht="11.25" customHeight="1">
      <c r="A4" s="766" t="s">
        <v>3693</v>
      </c>
      <c r="B4" s="766" t="s">
        <v>1564</v>
      </c>
    </row>
    <row r="5" spans="1:2" ht="11.25" customHeight="1">
      <c r="A5" s="766" t="s">
        <v>3694</v>
      </c>
      <c r="B5" s="766" t="s">
        <v>1573</v>
      </c>
    </row>
    <row r="6" spans="1:2" ht="11.25" customHeight="1">
      <c r="A6" s="766" t="s">
        <v>3695</v>
      </c>
      <c r="B6" s="766" t="s">
        <v>1579</v>
      </c>
    </row>
    <row r="7" spans="1:2" ht="11.25" customHeight="1">
      <c r="A7" s="766" t="s">
        <v>3696</v>
      </c>
      <c r="B7" s="766" t="s">
        <v>1587</v>
      </c>
    </row>
    <row r="8" spans="1:2" ht="11.25" customHeight="1">
      <c r="A8" s="766" t="s">
        <v>3697</v>
      </c>
      <c r="B8" s="766" t="s">
        <v>1594</v>
      </c>
    </row>
    <row r="9" spans="1:2" ht="11.25" customHeight="1">
      <c r="A9" s="766" t="s">
        <v>3698</v>
      </c>
      <c r="B9" s="766" t="s">
        <v>1600</v>
      </c>
    </row>
    <row r="10" spans="1:2" ht="11.25" customHeight="1">
      <c r="A10" s="766" t="s">
        <v>3699</v>
      </c>
      <c r="B10" s="766" t="s">
        <v>1604</v>
      </c>
    </row>
    <row r="11" spans="1:2" ht="11.25" customHeight="1">
      <c r="A11" s="766" t="s">
        <v>3700</v>
      </c>
      <c r="B11" s="766" t="s">
        <v>1611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G301"/>
  <sheetViews>
    <sheetView showGridLines="0" workbookViewId="0"/>
  </sheetViews>
  <sheetFormatPr defaultRowHeight="11.25" customHeight="1"/>
  <sheetData>
    <row r="1" spans="1:7" ht="11.25" customHeight="1">
      <c r="A1" s="310" t="s">
        <v>2818</v>
      </c>
      <c r="B1" s="310" t="s">
        <v>2819</v>
      </c>
      <c r="C1" s="310" t="s">
        <v>2820</v>
      </c>
      <c r="D1" s="310" t="s">
        <v>2821</v>
      </c>
      <c r="E1" t="s">
        <v>2822</v>
      </c>
      <c r="F1" t="s">
        <v>2823</v>
      </c>
      <c r="G1" t="s">
        <v>2824</v>
      </c>
    </row>
    <row r="2" spans="1:7" ht="11.25" customHeight="1">
      <c r="A2" t="s">
        <v>16</v>
      </c>
      <c r="B2" t="s">
        <v>2825</v>
      </c>
      <c r="C2" t="s">
        <v>2826</v>
      </c>
      <c r="D2" t="s">
        <v>2825</v>
      </c>
      <c r="E2" t="s">
        <v>2826</v>
      </c>
      <c r="F2" t="s">
        <v>2827</v>
      </c>
      <c r="G2" t="s">
        <v>114</v>
      </c>
    </row>
    <row r="3" spans="1:7" ht="11.25" customHeight="1">
      <c r="A3" t="s">
        <v>16</v>
      </c>
      <c r="B3" t="s">
        <v>2825</v>
      </c>
      <c r="C3" t="s">
        <v>2826</v>
      </c>
      <c r="D3" t="s">
        <v>2828</v>
      </c>
      <c r="E3" t="s">
        <v>2829</v>
      </c>
      <c r="F3" t="s">
        <v>2830</v>
      </c>
      <c r="G3" t="s">
        <v>115</v>
      </c>
    </row>
    <row r="4" spans="1:7" ht="11.25" customHeight="1">
      <c r="A4" t="s">
        <v>16</v>
      </c>
      <c r="B4" t="s">
        <v>2825</v>
      </c>
      <c r="C4" t="s">
        <v>2826</v>
      </c>
      <c r="D4" t="s">
        <v>2831</v>
      </c>
      <c r="E4" t="s">
        <v>2832</v>
      </c>
      <c r="F4" t="s">
        <v>2830</v>
      </c>
      <c r="G4" t="s">
        <v>95</v>
      </c>
    </row>
    <row r="5" spans="1:7" ht="11.25" customHeight="1">
      <c r="A5" t="s">
        <v>16</v>
      </c>
      <c r="B5" t="s">
        <v>2825</v>
      </c>
      <c r="C5" t="s">
        <v>2826</v>
      </c>
      <c r="D5" t="s">
        <v>2833</v>
      </c>
      <c r="E5" t="s">
        <v>2834</v>
      </c>
      <c r="F5" t="s">
        <v>2830</v>
      </c>
      <c r="G5" t="s">
        <v>96</v>
      </c>
    </row>
    <row r="6" spans="1:7" ht="11.25" customHeight="1">
      <c r="A6" t="s">
        <v>16</v>
      </c>
      <c r="B6" t="s">
        <v>2825</v>
      </c>
      <c r="C6" t="s">
        <v>2826</v>
      </c>
      <c r="D6" t="s">
        <v>2835</v>
      </c>
      <c r="E6" t="s">
        <v>2836</v>
      </c>
      <c r="F6" t="s">
        <v>2830</v>
      </c>
      <c r="G6" t="s">
        <v>116</v>
      </c>
    </row>
    <row r="7" spans="1:7" ht="11.25" customHeight="1">
      <c r="A7" t="s">
        <v>16</v>
      </c>
      <c r="B7" t="s">
        <v>2825</v>
      </c>
      <c r="C7" t="s">
        <v>2826</v>
      </c>
      <c r="D7" t="s">
        <v>2837</v>
      </c>
      <c r="E7" t="s">
        <v>2838</v>
      </c>
      <c r="F7" t="s">
        <v>2830</v>
      </c>
      <c r="G7" t="s">
        <v>97</v>
      </c>
    </row>
    <row r="8" spans="1:7" ht="11.25" customHeight="1">
      <c r="A8" t="s">
        <v>16</v>
      </c>
      <c r="B8" t="s">
        <v>2825</v>
      </c>
      <c r="C8" t="s">
        <v>2826</v>
      </c>
      <c r="D8" t="s">
        <v>2839</v>
      </c>
      <c r="E8" t="s">
        <v>2840</v>
      </c>
      <c r="F8" t="s">
        <v>2830</v>
      </c>
      <c r="G8" t="s">
        <v>98</v>
      </c>
    </row>
    <row r="9" spans="1:7" ht="11.25" customHeight="1">
      <c r="A9" t="s">
        <v>16</v>
      </c>
      <c r="B9" t="s">
        <v>2825</v>
      </c>
      <c r="C9" t="s">
        <v>2826</v>
      </c>
      <c r="D9" t="s">
        <v>2841</v>
      </c>
      <c r="E9" t="s">
        <v>2842</v>
      </c>
      <c r="F9" t="s">
        <v>2830</v>
      </c>
      <c r="G9" t="s">
        <v>117</v>
      </c>
    </row>
    <row r="10" spans="1:7" ht="11.25" customHeight="1">
      <c r="A10" t="s">
        <v>16</v>
      </c>
      <c r="B10" t="s">
        <v>2825</v>
      </c>
      <c r="C10" t="s">
        <v>2826</v>
      </c>
      <c r="D10" t="s">
        <v>2843</v>
      </c>
      <c r="E10" t="s">
        <v>2844</v>
      </c>
      <c r="F10" t="s">
        <v>2830</v>
      </c>
      <c r="G10" t="s">
        <v>153</v>
      </c>
    </row>
    <row r="11" spans="1:7" ht="11.25" customHeight="1">
      <c r="A11" t="s">
        <v>16</v>
      </c>
      <c r="B11" t="s">
        <v>2825</v>
      </c>
      <c r="C11" t="s">
        <v>2826</v>
      </c>
      <c r="D11" t="s">
        <v>2845</v>
      </c>
      <c r="E11" t="s">
        <v>2846</v>
      </c>
      <c r="F11" t="s">
        <v>2830</v>
      </c>
      <c r="G11" t="s">
        <v>154</v>
      </c>
    </row>
    <row r="12" spans="1:7" ht="11.25" customHeight="1">
      <c r="A12" t="s">
        <v>16</v>
      </c>
      <c r="B12" t="s">
        <v>2825</v>
      </c>
      <c r="C12" t="s">
        <v>2826</v>
      </c>
      <c r="D12" t="s">
        <v>2847</v>
      </c>
      <c r="E12" t="s">
        <v>2848</v>
      </c>
      <c r="F12" t="s">
        <v>2830</v>
      </c>
      <c r="G12" t="s">
        <v>155</v>
      </c>
    </row>
    <row r="13" spans="1:7" ht="11.25" customHeight="1">
      <c r="A13" t="s">
        <v>16</v>
      </c>
      <c r="B13" t="s">
        <v>2825</v>
      </c>
      <c r="C13" t="s">
        <v>2826</v>
      </c>
      <c r="D13" t="s">
        <v>2849</v>
      </c>
      <c r="E13" t="s">
        <v>2850</v>
      </c>
      <c r="F13" t="s">
        <v>2830</v>
      </c>
      <c r="G13" t="s">
        <v>156</v>
      </c>
    </row>
    <row r="14" spans="1:7" ht="11.25" customHeight="1">
      <c r="A14" t="s">
        <v>16</v>
      </c>
      <c r="B14" t="s">
        <v>2851</v>
      </c>
      <c r="C14" t="s">
        <v>2852</v>
      </c>
      <c r="D14" t="s">
        <v>2851</v>
      </c>
      <c r="E14" t="s">
        <v>2852</v>
      </c>
      <c r="F14" t="s">
        <v>2827</v>
      </c>
      <c r="G14" t="s">
        <v>157</v>
      </c>
    </row>
    <row r="15" spans="1:7" ht="11.25" customHeight="1">
      <c r="A15" t="s">
        <v>16</v>
      </c>
      <c r="B15" t="s">
        <v>2851</v>
      </c>
      <c r="C15" t="s">
        <v>2852</v>
      </c>
      <c r="D15" t="s">
        <v>2853</v>
      </c>
      <c r="E15" t="s">
        <v>2854</v>
      </c>
      <c r="F15" t="s">
        <v>2830</v>
      </c>
      <c r="G15" t="s">
        <v>158</v>
      </c>
    </row>
    <row r="16" spans="1:7" ht="11.25" customHeight="1">
      <c r="A16" t="s">
        <v>16</v>
      </c>
      <c r="B16" t="s">
        <v>2851</v>
      </c>
      <c r="C16" t="s">
        <v>2852</v>
      </c>
      <c r="D16" t="s">
        <v>2855</v>
      </c>
      <c r="E16" t="s">
        <v>2856</v>
      </c>
      <c r="F16" t="s">
        <v>2830</v>
      </c>
      <c r="G16" t="s">
        <v>1507</v>
      </c>
    </row>
    <row r="17" spans="1:7" ht="11.25" customHeight="1">
      <c r="A17" t="s">
        <v>16</v>
      </c>
      <c r="B17" t="s">
        <v>2851</v>
      </c>
      <c r="C17" t="s">
        <v>2852</v>
      </c>
      <c r="D17" t="s">
        <v>2857</v>
      </c>
      <c r="E17" t="s">
        <v>2858</v>
      </c>
      <c r="F17" t="s">
        <v>2830</v>
      </c>
      <c r="G17" t="s">
        <v>1513</v>
      </c>
    </row>
    <row r="18" spans="1:7" ht="11.25" customHeight="1">
      <c r="A18" t="s">
        <v>16</v>
      </c>
      <c r="B18" t="s">
        <v>2851</v>
      </c>
      <c r="C18" t="s">
        <v>2852</v>
      </c>
      <c r="D18" t="s">
        <v>2859</v>
      </c>
      <c r="E18" t="s">
        <v>2860</v>
      </c>
      <c r="F18" t="s">
        <v>2830</v>
      </c>
      <c r="G18" t="s">
        <v>1525</v>
      </c>
    </row>
    <row r="19" spans="1:7" ht="11.25" customHeight="1">
      <c r="A19" t="s">
        <v>16</v>
      </c>
      <c r="B19" t="s">
        <v>2851</v>
      </c>
      <c r="C19" t="s">
        <v>2852</v>
      </c>
      <c r="D19" t="s">
        <v>2861</v>
      </c>
      <c r="E19" t="s">
        <v>2862</v>
      </c>
      <c r="F19" t="s">
        <v>2830</v>
      </c>
      <c r="G19" t="s">
        <v>1539</v>
      </c>
    </row>
    <row r="20" spans="1:7" ht="11.25" customHeight="1">
      <c r="A20" t="s">
        <v>16</v>
      </c>
      <c r="B20" t="s">
        <v>2851</v>
      </c>
      <c r="C20" t="s">
        <v>2852</v>
      </c>
      <c r="D20" t="s">
        <v>2863</v>
      </c>
      <c r="E20" t="s">
        <v>2864</v>
      </c>
      <c r="F20" t="s">
        <v>2830</v>
      </c>
      <c r="G20" t="s">
        <v>1551</v>
      </c>
    </row>
    <row r="21" spans="1:7" ht="11.25" customHeight="1">
      <c r="A21" t="s">
        <v>16</v>
      </c>
      <c r="B21" t="s">
        <v>2851</v>
      </c>
      <c r="C21" t="s">
        <v>2852</v>
      </c>
      <c r="D21" t="s">
        <v>2865</v>
      </c>
      <c r="E21" t="s">
        <v>2866</v>
      </c>
      <c r="F21" t="s">
        <v>2830</v>
      </c>
      <c r="G21" t="s">
        <v>1560</v>
      </c>
    </row>
    <row r="22" spans="1:7" ht="11.25" customHeight="1">
      <c r="A22" t="s">
        <v>16</v>
      </c>
      <c r="B22" t="s">
        <v>2851</v>
      </c>
      <c r="C22" t="s">
        <v>2852</v>
      </c>
      <c r="D22" t="s">
        <v>2867</v>
      </c>
      <c r="E22" t="s">
        <v>2868</v>
      </c>
      <c r="F22" t="s">
        <v>2830</v>
      </c>
      <c r="G22" t="s">
        <v>1576</v>
      </c>
    </row>
    <row r="23" spans="1:7" ht="11.25" customHeight="1">
      <c r="A23" t="s">
        <v>16</v>
      </c>
      <c r="B23" t="s">
        <v>2851</v>
      </c>
      <c r="C23" t="s">
        <v>2852</v>
      </c>
      <c r="D23" t="s">
        <v>2869</v>
      </c>
      <c r="E23" t="s">
        <v>2870</v>
      </c>
      <c r="F23" t="s">
        <v>2830</v>
      </c>
      <c r="G23" t="s">
        <v>1583</v>
      </c>
    </row>
    <row r="24" spans="1:7" ht="11.25" customHeight="1">
      <c r="A24" t="s">
        <v>16</v>
      </c>
      <c r="B24" t="s">
        <v>2871</v>
      </c>
      <c r="C24" t="s">
        <v>2872</v>
      </c>
      <c r="D24" t="s">
        <v>2871</v>
      </c>
      <c r="E24" t="s">
        <v>2872</v>
      </c>
      <c r="F24" t="s">
        <v>2827</v>
      </c>
      <c r="G24" t="s">
        <v>1591</v>
      </c>
    </row>
    <row r="25" spans="1:7" ht="11.25" customHeight="1">
      <c r="A25" t="s">
        <v>16</v>
      </c>
      <c r="B25" t="s">
        <v>2871</v>
      </c>
      <c r="C25" t="s">
        <v>2872</v>
      </c>
      <c r="D25" t="s">
        <v>2873</v>
      </c>
      <c r="E25" t="s">
        <v>2874</v>
      </c>
      <c r="F25" t="s">
        <v>2830</v>
      </c>
      <c r="G25" t="s">
        <v>1598</v>
      </c>
    </row>
    <row r="26" spans="1:7" ht="11.25" customHeight="1">
      <c r="A26" t="s">
        <v>16</v>
      </c>
      <c r="B26" t="s">
        <v>2871</v>
      </c>
      <c r="C26" t="s">
        <v>2872</v>
      </c>
      <c r="D26" t="s">
        <v>2875</v>
      </c>
      <c r="E26" t="s">
        <v>2876</v>
      </c>
      <c r="F26" t="s">
        <v>2830</v>
      </c>
      <c r="G26" t="s">
        <v>1602</v>
      </c>
    </row>
    <row r="27" spans="1:7" ht="11.25" customHeight="1">
      <c r="A27" t="s">
        <v>16</v>
      </c>
      <c r="B27" t="s">
        <v>2871</v>
      </c>
      <c r="C27" t="s">
        <v>2872</v>
      </c>
      <c r="D27" t="s">
        <v>2877</v>
      </c>
      <c r="E27" t="s">
        <v>2878</v>
      </c>
      <c r="F27" t="s">
        <v>2830</v>
      </c>
      <c r="G27" t="s">
        <v>1607</v>
      </c>
    </row>
    <row r="28" spans="1:7" ht="11.25" customHeight="1">
      <c r="A28" t="s">
        <v>16</v>
      </c>
      <c r="B28" t="s">
        <v>2871</v>
      </c>
      <c r="C28" t="s">
        <v>2872</v>
      </c>
      <c r="D28" t="s">
        <v>2879</v>
      </c>
      <c r="E28" t="s">
        <v>2880</v>
      </c>
      <c r="F28" t="s">
        <v>2830</v>
      </c>
      <c r="G28" t="s">
        <v>1615</v>
      </c>
    </row>
    <row r="29" spans="1:7" ht="11.25" customHeight="1">
      <c r="A29" t="s">
        <v>16</v>
      </c>
      <c r="B29" t="s">
        <v>2871</v>
      </c>
      <c r="C29" t="s">
        <v>2872</v>
      </c>
      <c r="D29" t="s">
        <v>2881</v>
      </c>
      <c r="E29" t="s">
        <v>2882</v>
      </c>
      <c r="F29" t="s">
        <v>2830</v>
      </c>
      <c r="G29" t="s">
        <v>1617</v>
      </c>
    </row>
    <row r="30" spans="1:7" ht="11.25" customHeight="1">
      <c r="A30" t="s">
        <v>16</v>
      </c>
      <c r="B30" t="s">
        <v>2871</v>
      </c>
      <c r="C30" t="s">
        <v>2872</v>
      </c>
      <c r="D30" t="s">
        <v>2883</v>
      </c>
      <c r="E30" t="s">
        <v>2884</v>
      </c>
      <c r="F30" t="s">
        <v>2830</v>
      </c>
      <c r="G30" t="s">
        <v>1620</v>
      </c>
    </row>
    <row r="31" spans="1:7" ht="11.25" customHeight="1">
      <c r="A31" t="s">
        <v>16</v>
      </c>
      <c r="B31" t="s">
        <v>2871</v>
      </c>
      <c r="C31" t="s">
        <v>2872</v>
      </c>
      <c r="D31" t="s">
        <v>2885</v>
      </c>
      <c r="E31" t="s">
        <v>2886</v>
      </c>
      <c r="F31" t="s">
        <v>2830</v>
      </c>
      <c r="G31" t="s">
        <v>1626</v>
      </c>
    </row>
    <row r="32" spans="1:7" ht="11.25" customHeight="1">
      <c r="A32" t="s">
        <v>16</v>
      </c>
      <c r="B32" t="s">
        <v>2871</v>
      </c>
      <c r="C32" t="s">
        <v>2872</v>
      </c>
      <c r="D32" t="s">
        <v>2887</v>
      </c>
      <c r="E32" t="s">
        <v>2888</v>
      </c>
      <c r="F32" t="s">
        <v>2830</v>
      </c>
      <c r="G32" t="s">
        <v>1628</v>
      </c>
    </row>
    <row r="33" spans="1:7" ht="11.25" customHeight="1">
      <c r="A33" t="s">
        <v>16</v>
      </c>
      <c r="B33" t="s">
        <v>2871</v>
      </c>
      <c r="C33" t="s">
        <v>2872</v>
      </c>
      <c r="D33" t="s">
        <v>2889</v>
      </c>
      <c r="E33" t="s">
        <v>2890</v>
      </c>
      <c r="F33" t="s">
        <v>2830</v>
      </c>
      <c r="G33" t="s">
        <v>1630</v>
      </c>
    </row>
    <row r="34" spans="1:7" ht="11.25" customHeight="1">
      <c r="A34" t="s">
        <v>16</v>
      </c>
      <c r="B34" t="s">
        <v>2871</v>
      </c>
      <c r="C34" t="s">
        <v>2872</v>
      </c>
      <c r="D34" t="s">
        <v>2891</v>
      </c>
      <c r="E34" t="s">
        <v>2892</v>
      </c>
      <c r="F34" t="s">
        <v>2830</v>
      </c>
      <c r="G34" t="s">
        <v>1632</v>
      </c>
    </row>
    <row r="35" spans="1:7" ht="11.25" customHeight="1">
      <c r="A35" t="s">
        <v>16</v>
      </c>
      <c r="B35" t="s">
        <v>2871</v>
      </c>
      <c r="C35" t="s">
        <v>2872</v>
      </c>
      <c r="D35" t="s">
        <v>2893</v>
      </c>
      <c r="E35" t="s">
        <v>2894</v>
      </c>
      <c r="F35" t="s">
        <v>2830</v>
      </c>
      <c r="G35" t="s">
        <v>1637</v>
      </c>
    </row>
    <row r="36" spans="1:7" ht="11.25" customHeight="1">
      <c r="A36" t="s">
        <v>16</v>
      </c>
      <c r="B36" t="s">
        <v>2895</v>
      </c>
      <c r="C36" t="s">
        <v>2896</v>
      </c>
      <c r="D36" t="s">
        <v>2895</v>
      </c>
      <c r="E36" t="s">
        <v>2896</v>
      </c>
      <c r="F36" t="s">
        <v>2827</v>
      </c>
      <c r="G36" t="s">
        <v>1642</v>
      </c>
    </row>
    <row r="37" spans="1:7" ht="11.25" customHeight="1">
      <c r="A37" t="s">
        <v>16</v>
      </c>
      <c r="B37" t="s">
        <v>2895</v>
      </c>
      <c r="C37" t="s">
        <v>2896</v>
      </c>
      <c r="D37" t="s">
        <v>2897</v>
      </c>
      <c r="E37" t="s">
        <v>2898</v>
      </c>
      <c r="F37" t="s">
        <v>2830</v>
      </c>
      <c r="G37" t="s">
        <v>1646</v>
      </c>
    </row>
    <row r="38" spans="1:7" ht="11.25" customHeight="1">
      <c r="A38" t="s">
        <v>16</v>
      </c>
      <c r="B38" t="s">
        <v>2895</v>
      </c>
      <c r="C38" t="s">
        <v>2896</v>
      </c>
      <c r="D38" t="s">
        <v>2899</v>
      </c>
      <c r="E38" t="s">
        <v>2900</v>
      </c>
      <c r="F38" t="s">
        <v>2830</v>
      </c>
      <c r="G38" t="s">
        <v>1654</v>
      </c>
    </row>
    <row r="39" spans="1:7" ht="11.25" customHeight="1">
      <c r="A39" t="s">
        <v>16</v>
      </c>
      <c r="B39" t="s">
        <v>2895</v>
      </c>
      <c r="C39" t="s">
        <v>2896</v>
      </c>
      <c r="D39" t="s">
        <v>2901</v>
      </c>
      <c r="E39" t="s">
        <v>2902</v>
      </c>
      <c r="F39" t="s">
        <v>2830</v>
      </c>
      <c r="G39" t="s">
        <v>1660</v>
      </c>
    </row>
    <row r="40" spans="1:7" ht="11.25" customHeight="1">
      <c r="A40" t="s">
        <v>16</v>
      </c>
      <c r="B40" t="s">
        <v>2895</v>
      </c>
      <c r="C40" t="s">
        <v>2896</v>
      </c>
      <c r="D40" t="s">
        <v>2903</v>
      </c>
      <c r="E40" t="s">
        <v>2904</v>
      </c>
      <c r="F40" t="s">
        <v>2830</v>
      </c>
      <c r="G40" t="s">
        <v>1665</v>
      </c>
    </row>
    <row r="41" spans="1:7" ht="11.25" customHeight="1">
      <c r="A41" t="s">
        <v>16</v>
      </c>
      <c r="B41" t="s">
        <v>2895</v>
      </c>
      <c r="C41" t="s">
        <v>2896</v>
      </c>
      <c r="D41" t="s">
        <v>2905</v>
      </c>
      <c r="E41" t="s">
        <v>2906</v>
      </c>
      <c r="F41" t="s">
        <v>2830</v>
      </c>
      <c r="G41" t="s">
        <v>1669</v>
      </c>
    </row>
    <row r="42" spans="1:7" ht="11.25" customHeight="1">
      <c r="A42" t="s">
        <v>16</v>
      </c>
      <c r="B42" t="s">
        <v>2895</v>
      </c>
      <c r="C42" t="s">
        <v>2896</v>
      </c>
      <c r="D42" t="s">
        <v>2907</v>
      </c>
      <c r="E42" t="s">
        <v>2908</v>
      </c>
      <c r="F42" t="s">
        <v>2830</v>
      </c>
      <c r="G42" t="s">
        <v>1672</v>
      </c>
    </row>
    <row r="43" spans="1:7" ht="11.25" customHeight="1">
      <c r="A43" t="s">
        <v>16</v>
      </c>
      <c r="B43" t="s">
        <v>2895</v>
      </c>
      <c r="C43" t="s">
        <v>2896</v>
      </c>
      <c r="D43" t="s">
        <v>2909</v>
      </c>
      <c r="E43" t="s">
        <v>2910</v>
      </c>
      <c r="F43" t="s">
        <v>2830</v>
      </c>
      <c r="G43" t="s">
        <v>1679</v>
      </c>
    </row>
    <row r="44" spans="1:7" ht="11.25" customHeight="1">
      <c r="A44" t="s">
        <v>16</v>
      </c>
      <c r="B44" t="s">
        <v>2895</v>
      </c>
      <c r="C44" t="s">
        <v>2896</v>
      </c>
      <c r="D44" t="s">
        <v>2911</v>
      </c>
      <c r="E44" t="s">
        <v>2912</v>
      </c>
      <c r="F44" t="s">
        <v>2830</v>
      </c>
      <c r="G44" t="s">
        <v>1688</v>
      </c>
    </row>
    <row r="45" spans="1:7" ht="11.25" customHeight="1">
      <c r="A45" t="s">
        <v>16</v>
      </c>
      <c r="B45" t="s">
        <v>2895</v>
      </c>
      <c r="C45" t="s">
        <v>2896</v>
      </c>
      <c r="D45" t="s">
        <v>2913</v>
      </c>
      <c r="E45" t="s">
        <v>2914</v>
      </c>
      <c r="F45" t="s">
        <v>2830</v>
      </c>
      <c r="G45" t="s">
        <v>1693</v>
      </c>
    </row>
    <row r="46" spans="1:7" ht="11.25" customHeight="1">
      <c r="A46" t="s">
        <v>16</v>
      </c>
      <c r="B46" t="s">
        <v>2915</v>
      </c>
      <c r="C46" t="s">
        <v>2916</v>
      </c>
      <c r="D46" t="s">
        <v>2917</v>
      </c>
      <c r="E46" t="s">
        <v>2918</v>
      </c>
      <c r="F46" t="s">
        <v>2830</v>
      </c>
      <c r="G46" t="s">
        <v>1697</v>
      </c>
    </row>
    <row r="47" spans="1:7" ht="11.25" customHeight="1">
      <c r="A47" t="s">
        <v>16</v>
      </c>
      <c r="B47" t="s">
        <v>2915</v>
      </c>
      <c r="C47" t="s">
        <v>2916</v>
      </c>
      <c r="D47" t="s">
        <v>2919</v>
      </c>
      <c r="E47" t="s">
        <v>2920</v>
      </c>
      <c r="F47" t="s">
        <v>2830</v>
      </c>
      <c r="G47" t="s">
        <v>1703</v>
      </c>
    </row>
    <row r="48" spans="1:7" ht="11.25" customHeight="1">
      <c r="A48" t="s">
        <v>16</v>
      </c>
      <c r="B48" t="s">
        <v>2915</v>
      </c>
      <c r="C48" t="s">
        <v>2916</v>
      </c>
      <c r="D48" t="s">
        <v>2915</v>
      </c>
      <c r="E48" t="s">
        <v>2916</v>
      </c>
      <c r="F48" t="s">
        <v>2827</v>
      </c>
      <c r="G48" t="s">
        <v>1708</v>
      </c>
    </row>
    <row r="49" spans="1:7" ht="11.25" customHeight="1">
      <c r="A49" t="s">
        <v>16</v>
      </c>
      <c r="B49" t="s">
        <v>2915</v>
      </c>
      <c r="C49" t="s">
        <v>2916</v>
      </c>
      <c r="D49" t="s">
        <v>2921</v>
      </c>
      <c r="E49" t="s">
        <v>2922</v>
      </c>
      <c r="F49" t="s">
        <v>2830</v>
      </c>
      <c r="G49" t="s">
        <v>1711</v>
      </c>
    </row>
    <row r="50" spans="1:7" ht="11.25" customHeight="1">
      <c r="A50" t="s">
        <v>16</v>
      </c>
      <c r="B50" t="s">
        <v>2915</v>
      </c>
      <c r="C50" t="s">
        <v>2916</v>
      </c>
      <c r="D50" t="s">
        <v>2923</v>
      </c>
      <c r="E50" t="s">
        <v>2924</v>
      </c>
      <c r="F50" t="s">
        <v>2830</v>
      </c>
      <c r="G50" t="s">
        <v>1714</v>
      </c>
    </row>
    <row r="51" spans="1:7" ht="11.25" customHeight="1">
      <c r="A51" t="s">
        <v>16</v>
      </c>
      <c r="B51" t="s">
        <v>2915</v>
      </c>
      <c r="C51" t="s">
        <v>2916</v>
      </c>
      <c r="D51" t="s">
        <v>2925</v>
      </c>
      <c r="E51" t="s">
        <v>2926</v>
      </c>
      <c r="F51" t="s">
        <v>2830</v>
      </c>
      <c r="G51" t="s">
        <v>1719</v>
      </c>
    </row>
    <row r="52" spans="1:7" ht="11.25" customHeight="1">
      <c r="A52" t="s">
        <v>16</v>
      </c>
      <c r="B52" t="s">
        <v>2915</v>
      </c>
      <c r="C52" t="s">
        <v>2916</v>
      </c>
      <c r="D52" t="s">
        <v>2927</v>
      </c>
      <c r="E52" t="s">
        <v>2928</v>
      </c>
      <c r="F52" t="s">
        <v>2830</v>
      </c>
      <c r="G52" t="s">
        <v>1723</v>
      </c>
    </row>
    <row r="53" spans="1:7" ht="11.25" customHeight="1">
      <c r="A53" t="s">
        <v>16</v>
      </c>
      <c r="B53" t="s">
        <v>2915</v>
      </c>
      <c r="C53" t="s">
        <v>2916</v>
      </c>
      <c r="D53" t="s">
        <v>2929</v>
      </c>
      <c r="E53" t="s">
        <v>2930</v>
      </c>
      <c r="F53" t="s">
        <v>2830</v>
      </c>
      <c r="G53" t="s">
        <v>1725</v>
      </c>
    </row>
    <row r="54" spans="1:7" ht="11.25" customHeight="1">
      <c r="A54" t="s">
        <v>16</v>
      </c>
      <c r="B54" t="s">
        <v>2915</v>
      </c>
      <c r="C54" t="s">
        <v>2916</v>
      </c>
      <c r="D54" t="s">
        <v>2931</v>
      </c>
      <c r="E54" t="s">
        <v>2932</v>
      </c>
      <c r="F54" t="s">
        <v>2830</v>
      </c>
      <c r="G54" t="s">
        <v>1728</v>
      </c>
    </row>
    <row r="55" spans="1:7" ht="11.25" customHeight="1">
      <c r="A55" t="s">
        <v>16</v>
      </c>
      <c r="B55" t="s">
        <v>2915</v>
      </c>
      <c r="C55" t="s">
        <v>2916</v>
      </c>
      <c r="D55" t="s">
        <v>2933</v>
      </c>
      <c r="E55" t="s">
        <v>2934</v>
      </c>
      <c r="F55" t="s">
        <v>2830</v>
      </c>
      <c r="G55" t="s">
        <v>1732</v>
      </c>
    </row>
    <row r="56" spans="1:7" ht="11.25" customHeight="1">
      <c r="A56" t="s">
        <v>16</v>
      </c>
      <c r="B56" t="s">
        <v>2915</v>
      </c>
      <c r="C56" t="s">
        <v>2916</v>
      </c>
      <c r="D56" t="s">
        <v>2935</v>
      </c>
      <c r="E56" t="s">
        <v>2936</v>
      </c>
      <c r="F56" t="s">
        <v>2830</v>
      </c>
      <c r="G56" t="s">
        <v>1735</v>
      </c>
    </row>
    <row r="57" spans="1:7" ht="11.25" customHeight="1">
      <c r="A57" t="s">
        <v>16</v>
      </c>
      <c r="B57" t="s">
        <v>2915</v>
      </c>
      <c r="C57" t="s">
        <v>2916</v>
      </c>
      <c r="D57" t="s">
        <v>2937</v>
      </c>
      <c r="E57" t="s">
        <v>2938</v>
      </c>
      <c r="F57" t="s">
        <v>2830</v>
      </c>
      <c r="G57" t="s">
        <v>1738</v>
      </c>
    </row>
    <row r="58" spans="1:7" ht="11.25" customHeight="1">
      <c r="A58" t="s">
        <v>16</v>
      </c>
      <c r="B58" t="s">
        <v>2915</v>
      </c>
      <c r="C58" t="s">
        <v>2916</v>
      </c>
      <c r="D58" t="s">
        <v>2939</v>
      </c>
      <c r="E58" t="s">
        <v>2940</v>
      </c>
      <c r="F58" t="s">
        <v>2830</v>
      </c>
      <c r="G58" t="s">
        <v>1741</v>
      </c>
    </row>
    <row r="59" spans="1:7" ht="11.25" customHeight="1">
      <c r="A59" t="s">
        <v>16</v>
      </c>
      <c r="B59" t="s">
        <v>2915</v>
      </c>
      <c r="C59" t="s">
        <v>2916</v>
      </c>
      <c r="D59" t="s">
        <v>2941</v>
      </c>
      <c r="E59" t="s">
        <v>2942</v>
      </c>
      <c r="F59" t="s">
        <v>2830</v>
      </c>
      <c r="G59" t="s">
        <v>1745</v>
      </c>
    </row>
    <row r="60" spans="1:7" ht="11.25" customHeight="1">
      <c r="A60" t="s">
        <v>16</v>
      </c>
      <c r="B60" t="s">
        <v>2915</v>
      </c>
      <c r="C60" t="s">
        <v>2916</v>
      </c>
      <c r="D60" t="s">
        <v>2943</v>
      </c>
      <c r="E60" t="s">
        <v>2944</v>
      </c>
      <c r="F60" t="s">
        <v>2830</v>
      </c>
      <c r="G60" t="s">
        <v>1749</v>
      </c>
    </row>
    <row r="61" spans="1:7" ht="11.25" customHeight="1">
      <c r="A61" t="s">
        <v>16</v>
      </c>
      <c r="B61" t="s">
        <v>2915</v>
      </c>
      <c r="C61" t="s">
        <v>2916</v>
      </c>
      <c r="D61" t="s">
        <v>2945</v>
      </c>
      <c r="E61" t="s">
        <v>2946</v>
      </c>
      <c r="F61" t="s">
        <v>2830</v>
      </c>
      <c r="G61" t="s">
        <v>2947</v>
      </c>
    </row>
    <row r="62" spans="1:7" ht="11.25" customHeight="1">
      <c r="A62" t="s">
        <v>16</v>
      </c>
      <c r="B62" t="s">
        <v>2915</v>
      </c>
      <c r="C62" t="s">
        <v>2916</v>
      </c>
      <c r="D62" t="s">
        <v>2948</v>
      </c>
      <c r="E62" t="s">
        <v>2949</v>
      </c>
      <c r="F62" t="s">
        <v>2830</v>
      </c>
      <c r="G62" t="s">
        <v>2950</v>
      </c>
    </row>
    <row r="63" spans="1:7" ht="11.25" customHeight="1">
      <c r="A63" t="s">
        <v>16</v>
      </c>
      <c r="B63" t="s">
        <v>2915</v>
      </c>
      <c r="C63" t="s">
        <v>2916</v>
      </c>
      <c r="D63" t="s">
        <v>2951</v>
      </c>
      <c r="E63" t="s">
        <v>2952</v>
      </c>
      <c r="F63" t="s">
        <v>2830</v>
      </c>
      <c r="G63" t="s">
        <v>2953</v>
      </c>
    </row>
    <row r="64" spans="1:7" ht="11.25" customHeight="1">
      <c r="A64" t="s">
        <v>16</v>
      </c>
      <c r="B64" t="s">
        <v>2915</v>
      </c>
      <c r="C64" t="s">
        <v>2916</v>
      </c>
      <c r="D64" t="s">
        <v>2954</v>
      </c>
      <c r="E64" t="s">
        <v>2955</v>
      </c>
      <c r="F64" t="s">
        <v>2830</v>
      </c>
      <c r="G64" t="s">
        <v>2956</v>
      </c>
    </row>
    <row r="65" spans="1:7" ht="11.25" customHeight="1">
      <c r="A65" t="s">
        <v>16</v>
      </c>
      <c r="B65" t="s">
        <v>2915</v>
      </c>
      <c r="C65" t="s">
        <v>2916</v>
      </c>
      <c r="D65" t="s">
        <v>2957</v>
      </c>
      <c r="E65" t="s">
        <v>2958</v>
      </c>
      <c r="F65" t="s">
        <v>2830</v>
      </c>
      <c r="G65" t="s">
        <v>2959</v>
      </c>
    </row>
    <row r="66" spans="1:7" ht="11.25" customHeight="1">
      <c r="A66" t="s">
        <v>16</v>
      </c>
      <c r="B66" t="s">
        <v>2960</v>
      </c>
      <c r="C66" t="s">
        <v>2961</v>
      </c>
      <c r="D66" t="s">
        <v>2962</v>
      </c>
      <c r="E66" t="s">
        <v>2963</v>
      </c>
      <c r="F66" t="s">
        <v>2830</v>
      </c>
      <c r="G66" t="s">
        <v>2964</v>
      </c>
    </row>
    <row r="67" spans="1:7" ht="11.25" customHeight="1">
      <c r="A67" t="s">
        <v>16</v>
      </c>
      <c r="B67" t="s">
        <v>2960</v>
      </c>
      <c r="C67" t="s">
        <v>2961</v>
      </c>
      <c r="D67" t="s">
        <v>2965</v>
      </c>
      <c r="E67" t="s">
        <v>2966</v>
      </c>
      <c r="F67" t="s">
        <v>2830</v>
      </c>
      <c r="G67" t="s">
        <v>2067</v>
      </c>
    </row>
    <row r="68" spans="1:7" ht="11.25" customHeight="1">
      <c r="A68" t="s">
        <v>16</v>
      </c>
      <c r="B68" t="s">
        <v>2960</v>
      </c>
      <c r="C68" t="s">
        <v>2961</v>
      </c>
      <c r="D68" t="s">
        <v>2960</v>
      </c>
      <c r="E68" t="s">
        <v>2961</v>
      </c>
      <c r="F68" t="s">
        <v>2827</v>
      </c>
      <c r="G68" t="s">
        <v>2967</v>
      </c>
    </row>
    <row r="69" spans="1:7" ht="11.25" customHeight="1">
      <c r="A69" t="s">
        <v>16</v>
      </c>
      <c r="B69" t="s">
        <v>2960</v>
      </c>
      <c r="C69" t="s">
        <v>2961</v>
      </c>
      <c r="D69" t="s">
        <v>2968</v>
      </c>
      <c r="E69" t="s">
        <v>2969</v>
      </c>
      <c r="F69" t="s">
        <v>2830</v>
      </c>
      <c r="G69" t="s">
        <v>2270</v>
      </c>
    </row>
    <row r="70" spans="1:7" ht="11.25" customHeight="1">
      <c r="A70" t="s">
        <v>16</v>
      </c>
      <c r="B70" t="s">
        <v>2960</v>
      </c>
      <c r="C70" t="s">
        <v>2961</v>
      </c>
      <c r="D70" t="s">
        <v>2970</v>
      </c>
      <c r="E70" t="s">
        <v>2971</v>
      </c>
      <c r="F70" t="s">
        <v>2830</v>
      </c>
      <c r="G70" t="s">
        <v>2972</v>
      </c>
    </row>
    <row r="71" spans="1:7" ht="11.25" customHeight="1">
      <c r="A71" t="s">
        <v>16</v>
      </c>
      <c r="B71" t="s">
        <v>2960</v>
      </c>
      <c r="C71" t="s">
        <v>2961</v>
      </c>
      <c r="D71" t="s">
        <v>2973</v>
      </c>
      <c r="E71" t="s">
        <v>2974</v>
      </c>
      <c r="F71" t="s">
        <v>2830</v>
      </c>
      <c r="G71" t="s">
        <v>2975</v>
      </c>
    </row>
    <row r="72" spans="1:7" ht="11.25" customHeight="1">
      <c r="A72" t="s">
        <v>16</v>
      </c>
      <c r="B72" t="s">
        <v>2960</v>
      </c>
      <c r="C72" t="s">
        <v>2961</v>
      </c>
      <c r="D72" t="s">
        <v>2976</v>
      </c>
      <c r="E72" t="s">
        <v>2977</v>
      </c>
      <c r="F72" t="s">
        <v>2830</v>
      </c>
      <c r="G72" t="s">
        <v>2978</v>
      </c>
    </row>
    <row r="73" spans="1:7" ht="11.25" customHeight="1">
      <c r="A73" t="s">
        <v>16</v>
      </c>
      <c r="B73" t="s">
        <v>2960</v>
      </c>
      <c r="C73" t="s">
        <v>2961</v>
      </c>
      <c r="D73" t="s">
        <v>2979</v>
      </c>
      <c r="E73" t="s">
        <v>2980</v>
      </c>
      <c r="F73" t="s">
        <v>2830</v>
      </c>
      <c r="G73" t="s">
        <v>2981</v>
      </c>
    </row>
    <row r="74" spans="1:7" ht="11.25" customHeight="1">
      <c r="A74" t="s">
        <v>16</v>
      </c>
      <c r="B74" t="s">
        <v>2960</v>
      </c>
      <c r="C74" t="s">
        <v>2961</v>
      </c>
      <c r="D74" t="s">
        <v>2982</v>
      </c>
      <c r="E74" t="s">
        <v>2983</v>
      </c>
      <c r="F74" t="s">
        <v>2830</v>
      </c>
      <c r="G74" t="s">
        <v>2984</v>
      </c>
    </row>
    <row r="75" spans="1:7" ht="11.25" customHeight="1">
      <c r="A75" t="s">
        <v>16</v>
      </c>
      <c r="B75" t="s">
        <v>2960</v>
      </c>
      <c r="C75" t="s">
        <v>2961</v>
      </c>
      <c r="D75" t="s">
        <v>2985</v>
      </c>
      <c r="E75" t="s">
        <v>2986</v>
      </c>
      <c r="F75" t="s">
        <v>2830</v>
      </c>
      <c r="G75" t="s">
        <v>2987</v>
      </c>
    </row>
    <row r="76" spans="1:7" ht="11.25" customHeight="1">
      <c r="A76" t="s">
        <v>16</v>
      </c>
      <c r="B76" t="s">
        <v>2960</v>
      </c>
      <c r="C76" t="s">
        <v>2961</v>
      </c>
      <c r="D76" t="s">
        <v>2988</v>
      </c>
      <c r="E76" t="s">
        <v>2989</v>
      </c>
      <c r="F76" t="s">
        <v>2830</v>
      </c>
      <c r="G76" t="s">
        <v>2990</v>
      </c>
    </row>
    <row r="77" spans="1:7" ht="11.25" customHeight="1">
      <c r="A77" t="s">
        <v>16</v>
      </c>
      <c r="B77" t="s">
        <v>2960</v>
      </c>
      <c r="C77" t="s">
        <v>2961</v>
      </c>
      <c r="D77" t="s">
        <v>2991</v>
      </c>
      <c r="E77" t="s">
        <v>2992</v>
      </c>
      <c r="F77" t="s">
        <v>2830</v>
      </c>
      <c r="G77" t="s">
        <v>2993</v>
      </c>
    </row>
    <row r="78" spans="1:7" ht="11.25" customHeight="1">
      <c r="A78" t="s">
        <v>16</v>
      </c>
      <c r="B78" t="s">
        <v>2960</v>
      </c>
      <c r="C78" t="s">
        <v>2961</v>
      </c>
      <c r="D78" t="s">
        <v>2994</v>
      </c>
      <c r="E78" t="s">
        <v>2995</v>
      </c>
      <c r="F78" t="s">
        <v>2830</v>
      </c>
      <c r="G78" t="s">
        <v>2996</v>
      </c>
    </row>
    <row r="79" spans="1:7" ht="11.25" customHeight="1">
      <c r="A79" t="s">
        <v>16</v>
      </c>
      <c r="B79" t="s">
        <v>2960</v>
      </c>
      <c r="C79" t="s">
        <v>2961</v>
      </c>
      <c r="D79" t="s">
        <v>2997</v>
      </c>
      <c r="E79" t="s">
        <v>2998</v>
      </c>
      <c r="F79" t="s">
        <v>2830</v>
      </c>
      <c r="G79" t="s">
        <v>2999</v>
      </c>
    </row>
    <row r="80" spans="1:7" ht="11.25" customHeight="1">
      <c r="A80" t="s">
        <v>16</v>
      </c>
      <c r="B80" t="s">
        <v>2960</v>
      </c>
      <c r="C80" t="s">
        <v>2961</v>
      </c>
      <c r="D80" t="s">
        <v>3000</v>
      </c>
      <c r="E80" t="s">
        <v>3001</v>
      </c>
      <c r="F80" t="s">
        <v>2830</v>
      </c>
      <c r="G80" t="s">
        <v>3002</v>
      </c>
    </row>
    <row r="81" spans="1:7" ht="11.25" customHeight="1">
      <c r="A81" t="s">
        <v>16</v>
      </c>
      <c r="B81" t="s">
        <v>3003</v>
      </c>
      <c r="C81" t="s">
        <v>3004</v>
      </c>
      <c r="D81" t="s">
        <v>3003</v>
      </c>
      <c r="E81" t="s">
        <v>3004</v>
      </c>
      <c r="F81" t="s">
        <v>3005</v>
      </c>
      <c r="G81" t="s">
        <v>3006</v>
      </c>
    </row>
    <row r="82" spans="1:7" ht="11.25" customHeight="1">
      <c r="A82" t="s">
        <v>16</v>
      </c>
      <c r="B82" t="s">
        <v>3007</v>
      </c>
      <c r="C82" t="s">
        <v>3008</v>
      </c>
      <c r="D82" t="s">
        <v>3007</v>
      </c>
      <c r="E82" t="s">
        <v>3008</v>
      </c>
      <c r="F82" t="s">
        <v>3005</v>
      </c>
      <c r="G82" t="s">
        <v>3009</v>
      </c>
    </row>
    <row r="83" spans="1:7" ht="11.25" customHeight="1">
      <c r="A83" t="s">
        <v>16</v>
      </c>
      <c r="B83" t="s">
        <v>3010</v>
      </c>
      <c r="C83" t="s">
        <v>3011</v>
      </c>
      <c r="D83" t="s">
        <v>3012</v>
      </c>
      <c r="E83" t="s">
        <v>3013</v>
      </c>
      <c r="F83" t="s">
        <v>2830</v>
      </c>
      <c r="G83" t="s">
        <v>3014</v>
      </c>
    </row>
    <row r="84" spans="1:7" ht="11.25" customHeight="1">
      <c r="A84" t="s">
        <v>16</v>
      </c>
      <c r="B84" t="s">
        <v>3010</v>
      </c>
      <c r="C84" t="s">
        <v>3011</v>
      </c>
      <c r="D84" t="s">
        <v>3015</v>
      </c>
      <c r="E84" t="s">
        <v>3016</v>
      </c>
      <c r="F84" t="s">
        <v>2830</v>
      </c>
      <c r="G84" t="s">
        <v>3017</v>
      </c>
    </row>
    <row r="85" spans="1:7" ht="11.25" customHeight="1">
      <c r="A85" t="s">
        <v>16</v>
      </c>
      <c r="B85" t="s">
        <v>3010</v>
      </c>
      <c r="C85" t="s">
        <v>3011</v>
      </c>
      <c r="D85" t="s">
        <v>3018</v>
      </c>
      <c r="E85" t="s">
        <v>3019</v>
      </c>
      <c r="F85" t="s">
        <v>2830</v>
      </c>
      <c r="G85" t="s">
        <v>3020</v>
      </c>
    </row>
    <row r="86" spans="1:7" ht="11.25" customHeight="1">
      <c r="A86" t="s">
        <v>16</v>
      </c>
      <c r="B86" t="s">
        <v>3010</v>
      </c>
      <c r="C86" t="s">
        <v>3011</v>
      </c>
      <c r="D86" t="s">
        <v>3021</v>
      </c>
      <c r="E86" t="s">
        <v>3022</v>
      </c>
      <c r="F86" t="s">
        <v>2830</v>
      </c>
      <c r="G86" t="s">
        <v>3023</v>
      </c>
    </row>
    <row r="87" spans="1:7" ht="11.25" customHeight="1">
      <c r="A87" t="s">
        <v>16</v>
      </c>
      <c r="B87" t="s">
        <v>3010</v>
      </c>
      <c r="C87" t="s">
        <v>3011</v>
      </c>
      <c r="D87" t="s">
        <v>3024</v>
      </c>
      <c r="E87" t="s">
        <v>3025</v>
      </c>
      <c r="F87" t="s">
        <v>2830</v>
      </c>
      <c r="G87" t="s">
        <v>3026</v>
      </c>
    </row>
    <row r="88" spans="1:7" ht="11.25" customHeight="1">
      <c r="A88" t="s">
        <v>16</v>
      </c>
      <c r="B88" t="s">
        <v>3010</v>
      </c>
      <c r="C88" t="s">
        <v>3011</v>
      </c>
      <c r="D88" t="s">
        <v>3027</v>
      </c>
      <c r="E88" t="s">
        <v>3028</v>
      </c>
      <c r="F88" t="s">
        <v>2830</v>
      </c>
      <c r="G88" t="s">
        <v>3029</v>
      </c>
    </row>
    <row r="89" spans="1:7" ht="11.25" customHeight="1">
      <c r="A89" t="s">
        <v>16</v>
      </c>
      <c r="B89" t="s">
        <v>3010</v>
      </c>
      <c r="C89" t="s">
        <v>3011</v>
      </c>
      <c r="D89" t="s">
        <v>3010</v>
      </c>
      <c r="E89" t="s">
        <v>3011</v>
      </c>
      <c r="F89" t="s">
        <v>2827</v>
      </c>
      <c r="G89" t="s">
        <v>3030</v>
      </c>
    </row>
    <row r="90" spans="1:7" ht="11.25" customHeight="1">
      <c r="A90" t="s">
        <v>16</v>
      </c>
      <c r="B90" t="s">
        <v>3010</v>
      </c>
      <c r="C90" t="s">
        <v>3011</v>
      </c>
      <c r="D90" t="s">
        <v>3031</v>
      </c>
      <c r="E90" t="s">
        <v>3032</v>
      </c>
      <c r="F90" t="s">
        <v>2830</v>
      </c>
      <c r="G90" t="s">
        <v>3033</v>
      </c>
    </row>
    <row r="91" spans="1:7" ht="11.25" customHeight="1">
      <c r="A91" t="s">
        <v>16</v>
      </c>
      <c r="B91" t="s">
        <v>3010</v>
      </c>
      <c r="C91" t="s">
        <v>3011</v>
      </c>
      <c r="D91" t="s">
        <v>3034</v>
      </c>
      <c r="E91" t="s">
        <v>3035</v>
      </c>
      <c r="F91" t="s">
        <v>2830</v>
      </c>
      <c r="G91" t="s">
        <v>3036</v>
      </c>
    </row>
    <row r="92" spans="1:7" ht="11.25" customHeight="1">
      <c r="A92" t="s">
        <v>16</v>
      </c>
      <c r="B92" t="s">
        <v>3010</v>
      </c>
      <c r="C92" t="s">
        <v>3011</v>
      </c>
      <c r="D92" t="s">
        <v>3037</v>
      </c>
      <c r="E92" t="s">
        <v>3038</v>
      </c>
      <c r="F92" t="s">
        <v>2830</v>
      </c>
      <c r="G92" t="s">
        <v>3039</v>
      </c>
    </row>
    <row r="93" spans="1:7" ht="11.25" customHeight="1">
      <c r="A93" t="s">
        <v>16</v>
      </c>
      <c r="B93" t="s">
        <v>3010</v>
      </c>
      <c r="C93" t="s">
        <v>3011</v>
      </c>
      <c r="D93" t="s">
        <v>3040</v>
      </c>
      <c r="E93" t="s">
        <v>3041</v>
      </c>
      <c r="F93" t="s">
        <v>2830</v>
      </c>
      <c r="G93" t="s">
        <v>3042</v>
      </c>
    </row>
    <row r="94" spans="1:7" ht="11.25" customHeight="1">
      <c r="A94" t="s">
        <v>16</v>
      </c>
      <c r="B94" t="s">
        <v>3010</v>
      </c>
      <c r="C94" t="s">
        <v>3011</v>
      </c>
      <c r="D94" t="s">
        <v>3043</v>
      </c>
      <c r="E94" t="s">
        <v>3044</v>
      </c>
      <c r="F94" t="s">
        <v>2830</v>
      </c>
      <c r="G94" t="s">
        <v>3045</v>
      </c>
    </row>
    <row r="95" spans="1:7" ht="11.25" customHeight="1">
      <c r="A95" t="s">
        <v>16</v>
      </c>
      <c r="B95" t="s">
        <v>3010</v>
      </c>
      <c r="C95" t="s">
        <v>3011</v>
      </c>
      <c r="D95" t="s">
        <v>3046</v>
      </c>
      <c r="E95" t="s">
        <v>3047</v>
      </c>
      <c r="F95" t="s">
        <v>2830</v>
      </c>
      <c r="G95" t="s">
        <v>3048</v>
      </c>
    </row>
    <row r="96" spans="1:7" ht="11.25" customHeight="1">
      <c r="A96" t="s">
        <v>16</v>
      </c>
      <c r="B96" t="s">
        <v>3010</v>
      </c>
      <c r="C96" t="s">
        <v>3011</v>
      </c>
      <c r="D96" t="s">
        <v>3049</v>
      </c>
      <c r="E96" t="s">
        <v>3050</v>
      </c>
      <c r="F96" t="s">
        <v>2830</v>
      </c>
      <c r="G96" t="s">
        <v>3051</v>
      </c>
    </row>
    <row r="97" spans="1:7" ht="11.25" customHeight="1">
      <c r="A97" t="s">
        <v>16</v>
      </c>
      <c r="B97" t="s">
        <v>3010</v>
      </c>
      <c r="C97" t="s">
        <v>3011</v>
      </c>
      <c r="D97" t="s">
        <v>3052</v>
      </c>
      <c r="E97" t="s">
        <v>3053</v>
      </c>
      <c r="F97" t="s">
        <v>2830</v>
      </c>
      <c r="G97" t="s">
        <v>3054</v>
      </c>
    </row>
    <row r="98" spans="1:7" ht="11.25" customHeight="1">
      <c r="A98" t="s">
        <v>16</v>
      </c>
      <c r="B98" t="s">
        <v>3010</v>
      </c>
      <c r="C98" t="s">
        <v>3011</v>
      </c>
      <c r="D98" t="s">
        <v>3055</v>
      </c>
      <c r="E98" t="s">
        <v>3056</v>
      </c>
      <c r="F98" t="s">
        <v>2830</v>
      </c>
      <c r="G98" t="s">
        <v>3057</v>
      </c>
    </row>
    <row r="99" spans="1:7" ht="11.25" customHeight="1">
      <c r="A99" t="s">
        <v>16</v>
      </c>
      <c r="B99" t="s">
        <v>3010</v>
      </c>
      <c r="C99" t="s">
        <v>3011</v>
      </c>
      <c r="D99" t="s">
        <v>3058</v>
      </c>
      <c r="E99" t="s">
        <v>3059</v>
      </c>
      <c r="F99" t="s">
        <v>2830</v>
      </c>
      <c r="G99" t="s">
        <v>3060</v>
      </c>
    </row>
    <row r="100" spans="1:7" ht="11.25" customHeight="1">
      <c r="A100" t="s">
        <v>16</v>
      </c>
      <c r="B100" t="s">
        <v>3061</v>
      </c>
      <c r="C100" t="s">
        <v>3062</v>
      </c>
      <c r="D100" t="s">
        <v>3063</v>
      </c>
      <c r="E100" t="s">
        <v>3064</v>
      </c>
      <c r="F100" t="s">
        <v>2830</v>
      </c>
      <c r="G100" t="s">
        <v>3065</v>
      </c>
    </row>
    <row r="101" spans="1:7" ht="11.25" customHeight="1">
      <c r="A101" t="s">
        <v>16</v>
      </c>
      <c r="B101" t="s">
        <v>3061</v>
      </c>
      <c r="C101" t="s">
        <v>3062</v>
      </c>
      <c r="D101" t="s">
        <v>3066</v>
      </c>
      <c r="E101" t="s">
        <v>3067</v>
      </c>
      <c r="F101" t="s">
        <v>2830</v>
      </c>
      <c r="G101" t="s">
        <v>3068</v>
      </c>
    </row>
    <row r="102" spans="1:7" ht="11.25" customHeight="1">
      <c r="A102" t="s">
        <v>16</v>
      </c>
      <c r="B102" t="s">
        <v>3061</v>
      </c>
      <c r="C102" t="s">
        <v>3062</v>
      </c>
      <c r="D102" t="s">
        <v>3069</v>
      </c>
      <c r="E102" t="s">
        <v>3070</v>
      </c>
      <c r="F102" t="s">
        <v>2830</v>
      </c>
      <c r="G102" t="s">
        <v>3071</v>
      </c>
    </row>
    <row r="103" spans="1:7" ht="11.25" customHeight="1">
      <c r="A103" t="s">
        <v>16</v>
      </c>
      <c r="B103" t="s">
        <v>3061</v>
      </c>
      <c r="C103" t="s">
        <v>3062</v>
      </c>
      <c r="D103" t="s">
        <v>3072</v>
      </c>
      <c r="E103" t="s">
        <v>3073</v>
      </c>
      <c r="F103" t="s">
        <v>2830</v>
      </c>
      <c r="G103" t="s">
        <v>3074</v>
      </c>
    </row>
    <row r="104" spans="1:7" ht="11.25" customHeight="1">
      <c r="A104" t="s">
        <v>16</v>
      </c>
      <c r="B104" t="s">
        <v>3061</v>
      </c>
      <c r="C104" t="s">
        <v>3062</v>
      </c>
      <c r="D104" t="s">
        <v>3075</v>
      </c>
      <c r="E104" t="s">
        <v>3076</v>
      </c>
      <c r="F104" t="s">
        <v>2830</v>
      </c>
      <c r="G104" t="s">
        <v>3077</v>
      </c>
    </row>
    <row r="105" spans="1:7" ht="11.25" customHeight="1">
      <c r="A105" t="s">
        <v>16</v>
      </c>
      <c r="B105" t="s">
        <v>3061</v>
      </c>
      <c r="C105" t="s">
        <v>3062</v>
      </c>
      <c r="D105" t="s">
        <v>3078</v>
      </c>
      <c r="E105" t="s">
        <v>3079</v>
      </c>
      <c r="F105" t="s">
        <v>2830</v>
      </c>
      <c r="G105" t="s">
        <v>3080</v>
      </c>
    </row>
    <row r="106" spans="1:7" ht="11.25" customHeight="1">
      <c r="A106" t="s">
        <v>16</v>
      </c>
      <c r="B106" t="s">
        <v>3061</v>
      </c>
      <c r="C106" t="s">
        <v>3062</v>
      </c>
      <c r="D106" t="s">
        <v>3061</v>
      </c>
      <c r="E106" t="s">
        <v>3062</v>
      </c>
      <c r="F106" t="s">
        <v>2827</v>
      </c>
      <c r="G106" t="s">
        <v>3081</v>
      </c>
    </row>
    <row r="107" spans="1:7" ht="11.25" customHeight="1">
      <c r="A107" t="s">
        <v>16</v>
      </c>
      <c r="B107" t="s">
        <v>3061</v>
      </c>
      <c r="C107" t="s">
        <v>3062</v>
      </c>
      <c r="D107" t="s">
        <v>3082</v>
      </c>
      <c r="E107" t="s">
        <v>3083</v>
      </c>
      <c r="F107" t="s">
        <v>2830</v>
      </c>
      <c r="G107" t="s">
        <v>3084</v>
      </c>
    </row>
    <row r="108" spans="1:7" ht="11.25" customHeight="1">
      <c r="A108" t="s">
        <v>16</v>
      </c>
      <c r="B108" t="s">
        <v>3061</v>
      </c>
      <c r="C108" t="s">
        <v>3062</v>
      </c>
      <c r="D108" t="s">
        <v>3085</v>
      </c>
      <c r="E108" t="s">
        <v>3086</v>
      </c>
      <c r="F108" t="s">
        <v>2830</v>
      </c>
      <c r="G108" t="s">
        <v>3087</v>
      </c>
    </row>
    <row r="109" spans="1:7" ht="11.25" customHeight="1">
      <c r="A109" t="s">
        <v>16</v>
      </c>
      <c r="B109" t="s">
        <v>3061</v>
      </c>
      <c r="C109" t="s">
        <v>3062</v>
      </c>
      <c r="D109" t="s">
        <v>3088</v>
      </c>
      <c r="E109" t="s">
        <v>3089</v>
      </c>
      <c r="F109" t="s">
        <v>2830</v>
      </c>
      <c r="G109" t="s">
        <v>3090</v>
      </c>
    </row>
    <row r="110" spans="1:7" ht="11.25" customHeight="1">
      <c r="A110" t="s">
        <v>16</v>
      </c>
      <c r="B110" t="s">
        <v>3061</v>
      </c>
      <c r="C110" t="s">
        <v>3062</v>
      </c>
      <c r="D110" t="s">
        <v>3091</v>
      </c>
      <c r="E110" t="s">
        <v>3092</v>
      </c>
      <c r="F110" t="s">
        <v>2830</v>
      </c>
      <c r="G110" t="s">
        <v>3093</v>
      </c>
    </row>
    <row r="111" spans="1:7" ht="11.25" customHeight="1">
      <c r="A111" t="s">
        <v>16</v>
      </c>
      <c r="B111" t="s">
        <v>3061</v>
      </c>
      <c r="C111" t="s">
        <v>3062</v>
      </c>
      <c r="D111" t="s">
        <v>3094</v>
      </c>
      <c r="E111" t="s">
        <v>3095</v>
      </c>
      <c r="F111" t="s">
        <v>2830</v>
      </c>
      <c r="G111" t="s">
        <v>3096</v>
      </c>
    </row>
    <row r="112" spans="1:7" ht="11.25" customHeight="1">
      <c r="A112" t="s">
        <v>16</v>
      </c>
      <c r="B112" t="s">
        <v>3061</v>
      </c>
      <c r="C112" t="s">
        <v>3062</v>
      </c>
      <c r="D112" t="s">
        <v>3097</v>
      </c>
      <c r="E112" t="s">
        <v>3098</v>
      </c>
      <c r="F112" t="s">
        <v>2830</v>
      </c>
      <c r="G112" t="s">
        <v>3099</v>
      </c>
    </row>
    <row r="113" spans="1:7" ht="11.25" customHeight="1">
      <c r="A113" t="s">
        <v>16</v>
      </c>
      <c r="B113" t="s">
        <v>3061</v>
      </c>
      <c r="C113" t="s">
        <v>3062</v>
      </c>
      <c r="D113" t="s">
        <v>3100</v>
      </c>
      <c r="E113" t="s">
        <v>3101</v>
      </c>
      <c r="F113" t="s">
        <v>2830</v>
      </c>
      <c r="G113" t="s">
        <v>3102</v>
      </c>
    </row>
    <row r="114" spans="1:7" ht="11.25" customHeight="1">
      <c r="A114" t="s">
        <v>16</v>
      </c>
      <c r="B114" t="s">
        <v>3061</v>
      </c>
      <c r="C114" t="s">
        <v>3062</v>
      </c>
      <c r="D114" t="s">
        <v>3103</v>
      </c>
      <c r="E114" t="s">
        <v>3104</v>
      </c>
      <c r="F114" t="s">
        <v>2830</v>
      </c>
      <c r="G114" t="s">
        <v>3105</v>
      </c>
    </row>
    <row r="115" spans="1:7" ht="11.25" customHeight="1">
      <c r="A115" t="s">
        <v>16</v>
      </c>
      <c r="B115" t="s">
        <v>3061</v>
      </c>
      <c r="C115" t="s">
        <v>3062</v>
      </c>
      <c r="D115" t="s">
        <v>3106</v>
      </c>
      <c r="E115" t="s">
        <v>3107</v>
      </c>
      <c r="F115" t="s">
        <v>2830</v>
      </c>
      <c r="G115" t="s">
        <v>3108</v>
      </c>
    </row>
    <row r="116" spans="1:7" ht="11.25" customHeight="1">
      <c r="A116" t="s">
        <v>16</v>
      </c>
      <c r="B116" t="s">
        <v>3061</v>
      </c>
      <c r="C116" t="s">
        <v>3062</v>
      </c>
      <c r="D116" t="s">
        <v>3109</v>
      </c>
      <c r="E116" t="s">
        <v>3110</v>
      </c>
      <c r="F116" t="s">
        <v>2830</v>
      </c>
      <c r="G116" t="s">
        <v>3111</v>
      </c>
    </row>
    <row r="117" spans="1:7" ht="11.25" customHeight="1">
      <c r="A117" t="s">
        <v>16</v>
      </c>
      <c r="B117" t="s">
        <v>3061</v>
      </c>
      <c r="C117" t="s">
        <v>3062</v>
      </c>
      <c r="D117" t="s">
        <v>3112</v>
      </c>
      <c r="E117" t="s">
        <v>3113</v>
      </c>
      <c r="F117" t="s">
        <v>2830</v>
      </c>
      <c r="G117" t="s">
        <v>3114</v>
      </c>
    </row>
    <row r="118" spans="1:7" ht="11.25" customHeight="1">
      <c r="A118" t="s">
        <v>16</v>
      </c>
      <c r="B118" t="s">
        <v>3061</v>
      </c>
      <c r="C118" t="s">
        <v>3062</v>
      </c>
      <c r="D118" t="s">
        <v>3115</v>
      </c>
      <c r="E118" t="s">
        <v>3116</v>
      </c>
      <c r="F118" t="s">
        <v>2830</v>
      </c>
      <c r="G118" t="s">
        <v>3117</v>
      </c>
    </row>
    <row r="119" spans="1:7" ht="11.25" customHeight="1">
      <c r="A119" t="s">
        <v>16</v>
      </c>
      <c r="B119" t="s">
        <v>3061</v>
      </c>
      <c r="C119" t="s">
        <v>3062</v>
      </c>
      <c r="D119" t="s">
        <v>3118</v>
      </c>
      <c r="E119" t="s">
        <v>3119</v>
      </c>
      <c r="F119" t="s">
        <v>2830</v>
      </c>
      <c r="G119" t="s">
        <v>3120</v>
      </c>
    </row>
    <row r="120" spans="1:7" ht="11.25" customHeight="1">
      <c r="A120" t="s">
        <v>16</v>
      </c>
      <c r="B120" t="s">
        <v>3061</v>
      </c>
      <c r="C120" t="s">
        <v>3062</v>
      </c>
      <c r="D120" t="s">
        <v>3121</v>
      </c>
      <c r="E120" t="s">
        <v>3122</v>
      </c>
      <c r="F120" t="s">
        <v>2830</v>
      </c>
      <c r="G120" t="s">
        <v>3123</v>
      </c>
    </row>
    <row r="121" spans="1:7" ht="11.25" customHeight="1">
      <c r="A121" t="s">
        <v>16</v>
      </c>
      <c r="B121" t="s">
        <v>3061</v>
      </c>
      <c r="C121" t="s">
        <v>3062</v>
      </c>
      <c r="D121" t="s">
        <v>3124</v>
      </c>
      <c r="E121" t="s">
        <v>3125</v>
      </c>
      <c r="F121" t="s">
        <v>2830</v>
      </c>
      <c r="G121" t="s">
        <v>3126</v>
      </c>
    </row>
    <row r="122" spans="1:7" ht="11.25" customHeight="1">
      <c r="A122" t="s">
        <v>16</v>
      </c>
      <c r="B122" t="s">
        <v>3061</v>
      </c>
      <c r="C122" t="s">
        <v>3062</v>
      </c>
      <c r="D122" t="s">
        <v>3127</v>
      </c>
      <c r="E122" t="s">
        <v>3128</v>
      </c>
      <c r="F122" t="s">
        <v>2830</v>
      </c>
      <c r="G122" t="s">
        <v>3129</v>
      </c>
    </row>
    <row r="123" spans="1:7" ht="11.25" customHeight="1">
      <c r="A123" t="s">
        <v>16</v>
      </c>
      <c r="B123" t="s">
        <v>3130</v>
      </c>
      <c r="C123" t="s">
        <v>3131</v>
      </c>
      <c r="D123" t="s">
        <v>3132</v>
      </c>
      <c r="E123" t="s">
        <v>3133</v>
      </c>
      <c r="F123" t="s">
        <v>2830</v>
      </c>
      <c r="G123" t="s">
        <v>3134</v>
      </c>
    </row>
    <row r="124" spans="1:7" ht="11.25" customHeight="1">
      <c r="A124" t="s">
        <v>16</v>
      </c>
      <c r="B124" t="s">
        <v>3130</v>
      </c>
      <c r="C124" t="s">
        <v>3131</v>
      </c>
      <c r="D124" t="s">
        <v>3135</v>
      </c>
      <c r="E124" t="s">
        <v>3136</v>
      </c>
      <c r="F124" t="s">
        <v>2830</v>
      </c>
      <c r="G124" t="s">
        <v>3137</v>
      </c>
    </row>
    <row r="125" spans="1:7" ht="11.25" customHeight="1">
      <c r="A125" t="s">
        <v>16</v>
      </c>
      <c r="B125" t="s">
        <v>3130</v>
      </c>
      <c r="C125" t="s">
        <v>3131</v>
      </c>
      <c r="D125" t="s">
        <v>3138</v>
      </c>
      <c r="E125" t="s">
        <v>3139</v>
      </c>
      <c r="F125" t="s">
        <v>2830</v>
      </c>
      <c r="G125" t="s">
        <v>3140</v>
      </c>
    </row>
    <row r="126" spans="1:7" ht="11.25" customHeight="1">
      <c r="A126" t="s">
        <v>16</v>
      </c>
      <c r="B126" t="s">
        <v>3130</v>
      </c>
      <c r="C126" t="s">
        <v>3131</v>
      </c>
      <c r="D126" t="s">
        <v>3141</v>
      </c>
      <c r="E126" t="s">
        <v>3142</v>
      </c>
      <c r="F126" t="s">
        <v>2830</v>
      </c>
      <c r="G126" t="s">
        <v>3143</v>
      </c>
    </row>
    <row r="127" spans="1:7" ht="11.25" customHeight="1">
      <c r="A127" t="s">
        <v>16</v>
      </c>
      <c r="B127" t="s">
        <v>3130</v>
      </c>
      <c r="C127" t="s">
        <v>3131</v>
      </c>
      <c r="D127" t="s">
        <v>3144</v>
      </c>
      <c r="E127" t="s">
        <v>3145</v>
      </c>
      <c r="F127" t="s">
        <v>2830</v>
      </c>
      <c r="G127" t="s">
        <v>3146</v>
      </c>
    </row>
    <row r="128" spans="1:7" ht="11.25" customHeight="1">
      <c r="A128" t="s">
        <v>16</v>
      </c>
      <c r="B128" t="s">
        <v>3130</v>
      </c>
      <c r="C128" t="s">
        <v>3131</v>
      </c>
      <c r="D128" t="s">
        <v>3147</v>
      </c>
      <c r="E128" t="s">
        <v>3148</v>
      </c>
      <c r="F128" t="s">
        <v>2830</v>
      </c>
      <c r="G128" t="s">
        <v>3149</v>
      </c>
    </row>
    <row r="129" spans="1:7" ht="11.25" customHeight="1">
      <c r="A129" t="s">
        <v>16</v>
      </c>
      <c r="B129" t="s">
        <v>3130</v>
      </c>
      <c r="C129" t="s">
        <v>3131</v>
      </c>
      <c r="D129" t="s">
        <v>3130</v>
      </c>
      <c r="E129" t="s">
        <v>3131</v>
      </c>
      <c r="F129" t="s">
        <v>2827</v>
      </c>
      <c r="G129" t="s">
        <v>3150</v>
      </c>
    </row>
    <row r="130" spans="1:7" ht="11.25" customHeight="1">
      <c r="A130" t="s">
        <v>16</v>
      </c>
      <c r="B130" t="s">
        <v>3130</v>
      </c>
      <c r="C130" t="s">
        <v>3131</v>
      </c>
      <c r="D130" t="s">
        <v>2927</v>
      </c>
      <c r="E130" t="s">
        <v>3151</v>
      </c>
      <c r="F130" t="s">
        <v>2830</v>
      </c>
      <c r="G130" t="s">
        <v>3152</v>
      </c>
    </row>
    <row r="131" spans="1:7" ht="11.25" customHeight="1">
      <c r="A131" t="s">
        <v>16</v>
      </c>
      <c r="B131" t="s">
        <v>3130</v>
      </c>
      <c r="C131" t="s">
        <v>3131</v>
      </c>
      <c r="D131" t="s">
        <v>3153</v>
      </c>
      <c r="E131" t="s">
        <v>3154</v>
      </c>
      <c r="F131" t="s">
        <v>2830</v>
      </c>
      <c r="G131" t="s">
        <v>3155</v>
      </c>
    </row>
    <row r="132" spans="1:7" ht="11.25" customHeight="1">
      <c r="A132" t="s">
        <v>16</v>
      </c>
      <c r="B132" t="s">
        <v>3130</v>
      </c>
      <c r="C132" t="s">
        <v>3131</v>
      </c>
      <c r="D132" t="s">
        <v>3156</v>
      </c>
      <c r="E132" t="s">
        <v>3157</v>
      </c>
      <c r="F132" t="s">
        <v>2830</v>
      </c>
      <c r="G132" t="s">
        <v>3158</v>
      </c>
    </row>
    <row r="133" spans="1:7" ht="11.25" customHeight="1">
      <c r="A133" t="s">
        <v>16</v>
      </c>
      <c r="B133" t="s">
        <v>3130</v>
      </c>
      <c r="C133" t="s">
        <v>3131</v>
      </c>
      <c r="D133" t="s">
        <v>3159</v>
      </c>
      <c r="E133" t="s">
        <v>3160</v>
      </c>
      <c r="F133" t="s">
        <v>2830</v>
      </c>
      <c r="G133" t="s">
        <v>3161</v>
      </c>
    </row>
    <row r="134" spans="1:7" ht="11.25" customHeight="1">
      <c r="A134" t="s">
        <v>16</v>
      </c>
      <c r="B134" t="s">
        <v>3130</v>
      </c>
      <c r="C134" t="s">
        <v>3131</v>
      </c>
      <c r="D134" t="s">
        <v>3162</v>
      </c>
      <c r="E134" t="s">
        <v>3163</v>
      </c>
      <c r="F134" t="s">
        <v>2830</v>
      </c>
      <c r="G134" t="s">
        <v>3164</v>
      </c>
    </row>
    <row r="135" spans="1:7" ht="11.25" customHeight="1">
      <c r="A135" t="s">
        <v>16</v>
      </c>
      <c r="B135" t="s">
        <v>3130</v>
      </c>
      <c r="C135" t="s">
        <v>3131</v>
      </c>
      <c r="D135" t="s">
        <v>3165</v>
      </c>
      <c r="E135" t="s">
        <v>3166</v>
      </c>
      <c r="F135" t="s">
        <v>2830</v>
      </c>
      <c r="G135" t="s">
        <v>3167</v>
      </c>
    </row>
    <row r="136" spans="1:7" ht="11.25" customHeight="1">
      <c r="A136" t="s">
        <v>16</v>
      </c>
      <c r="B136" t="s">
        <v>3130</v>
      </c>
      <c r="C136" t="s">
        <v>3131</v>
      </c>
      <c r="D136" t="s">
        <v>3168</v>
      </c>
      <c r="E136" t="s">
        <v>3169</v>
      </c>
      <c r="F136" t="s">
        <v>2830</v>
      </c>
      <c r="G136" t="s">
        <v>3170</v>
      </c>
    </row>
    <row r="137" spans="1:7" ht="11.25" customHeight="1">
      <c r="A137" t="s">
        <v>16</v>
      </c>
      <c r="B137" t="s">
        <v>3171</v>
      </c>
      <c r="C137" t="s">
        <v>3172</v>
      </c>
      <c r="D137" t="s">
        <v>3173</v>
      </c>
      <c r="E137" t="s">
        <v>3174</v>
      </c>
      <c r="F137" t="s">
        <v>2830</v>
      </c>
      <c r="G137" t="s">
        <v>3175</v>
      </c>
    </row>
    <row r="138" spans="1:7" ht="11.25" customHeight="1">
      <c r="A138" t="s">
        <v>16</v>
      </c>
      <c r="B138" t="s">
        <v>3171</v>
      </c>
      <c r="C138" t="s">
        <v>3172</v>
      </c>
      <c r="D138" t="s">
        <v>3176</v>
      </c>
      <c r="E138" t="s">
        <v>3177</v>
      </c>
      <c r="F138" t="s">
        <v>2830</v>
      </c>
      <c r="G138" t="s">
        <v>3178</v>
      </c>
    </row>
    <row r="139" spans="1:7" ht="11.25" customHeight="1">
      <c r="A139" t="s">
        <v>16</v>
      </c>
      <c r="B139" t="s">
        <v>3171</v>
      </c>
      <c r="C139" t="s">
        <v>3172</v>
      </c>
      <c r="D139" t="s">
        <v>3179</v>
      </c>
      <c r="E139" t="s">
        <v>3180</v>
      </c>
      <c r="F139" t="s">
        <v>2830</v>
      </c>
      <c r="G139" t="s">
        <v>3181</v>
      </c>
    </row>
    <row r="140" spans="1:7" ht="11.25" customHeight="1">
      <c r="A140" t="s">
        <v>16</v>
      </c>
      <c r="B140" t="s">
        <v>3171</v>
      </c>
      <c r="C140" t="s">
        <v>3172</v>
      </c>
      <c r="D140" t="s">
        <v>3182</v>
      </c>
      <c r="E140" t="s">
        <v>3183</v>
      </c>
      <c r="F140" t="s">
        <v>2830</v>
      </c>
      <c r="G140" t="s">
        <v>3184</v>
      </c>
    </row>
    <row r="141" spans="1:7" ht="11.25" customHeight="1">
      <c r="A141" t="s">
        <v>16</v>
      </c>
      <c r="B141" t="s">
        <v>3171</v>
      </c>
      <c r="C141" t="s">
        <v>3172</v>
      </c>
      <c r="D141" t="s">
        <v>3185</v>
      </c>
      <c r="E141" t="s">
        <v>3186</v>
      </c>
      <c r="F141" t="s">
        <v>2830</v>
      </c>
      <c r="G141" t="s">
        <v>3187</v>
      </c>
    </row>
    <row r="142" spans="1:7" ht="11.25" customHeight="1">
      <c r="A142" t="s">
        <v>16</v>
      </c>
      <c r="B142" t="s">
        <v>3171</v>
      </c>
      <c r="C142" t="s">
        <v>3172</v>
      </c>
      <c r="D142" t="s">
        <v>3188</v>
      </c>
      <c r="E142" t="s">
        <v>3189</v>
      </c>
      <c r="F142" t="s">
        <v>2830</v>
      </c>
      <c r="G142" t="s">
        <v>3190</v>
      </c>
    </row>
    <row r="143" spans="1:7" ht="11.25" customHeight="1">
      <c r="A143" t="s">
        <v>16</v>
      </c>
      <c r="B143" t="s">
        <v>3171</v>
      </c>
      <c r="C143" t="s">
        <v>3172</v>
      </c>
      <c r="D143" t="s">
        <v>3191</v>
      </c>
      <c r="E143" t="s">
        <v>3192</v>
      </c>
      <c r="F143" t="s">
        <v>2830</v>
      </c>
      <c r="G143" t="s">
        <v>3193</v>
      </c>
    </row>
    <row r="144" spans="1:7" ht="11.25" customHeight="1">
      <c r="A144" t="s">
        <v>16</v>
      </c>
      <c r="B144" t="s">
        <v>3171</v>
      </c>
      <c r="C144" t="s">
        <v>3172</v>
      </c>
      <c r="D144" t="s">
        <v>3194</v>
      </c>
      <c r="E144" t="s">
        <v>3195</v>
      </c>
      <c r="F144" t="s">
        <v>2830</v>
      </c>
      <c r="G144" t="s">
        <v>3196</v>
      </c>
    </row>
    <row r="145" spans="1:7" ht="11.25" customHeight="1">
      <c r="A145" t="s">
        <v>16</v>
      </c>
      <c r="B145" t="s">
        <v>3171</v>
      </c>
      <c r="C145" t="s">
        <v>3172</v>
      </c>
      <c r="D145" t="s">
        <v>3197</v>
      </c>
      <c r="E145" t="s">
        <v>3198</v>
      </c>
      <c r="F145" t="s">
        <v>2830</v>
      </c>
      <c r="G145" t="s">
        <v>3199</v>
      </c>
    </row>
    <row r="146" spans="1:7" ht="11.25" customHeight="1">
      <c r="A146" t="s">
        <v>16</v>
      </c>
      <c r="B146" t="s">
        <v>3171</v>
      </c>
      <c r="C146" t="s">
        <v>3172</v>
      </c>
      <c r="D146" t="s">
        <v>3171</v>
      </c>
      <c r="E146" t="s">
        <v>3172</v>
      </c>
      <c r="F146" t="s">
        <v>2827</v>
      </c>
      <c r="G146" t="s">
        <v>3200</v>
      </c>
    </row>
    <row r="147" spans="1:7" ht="11.25" customHeight="1">
      <c r="A147" t="s">
        <v>16</v>
      </c>
      <c r="B147" t="s">
        <v>3171</v>
      </c>
      <c r="C147" t="s">
        <v>3172</v>
      </c>
      <c r="D147" t="s">
        <v>3201</v>
      </c>
      <c r="E147" t="s">
        <v>3202</v>
      </c>
      <c r="F147" t="s">
        <v>2830</v>
      </c>
      <c r="G147" t="s">
        <v>3203</v>
      </c>
    </row>
    <row r="148" spans="1:7" ht="11.25" customHeight="1">
      <c r="A148" t="s">
        <v>16</v>
      </c>
      <c r="B148" t="s">
        <v>3171</v>
      </c>
      <c r="C148" t="s">
        <v>3172</v>
      </c>
      <c r="D148" t="s">
        <v>3204</v>
      </c>
      <c r="E148" t="s">
        <v>3205</v>
      </c>
      <c r="F148" t="s">
        <v>2830</v>
      </c>
      <c r="G148" t="s">
        <v>3206</v>
      </c>
    </row>
    <row r="149" spans="1:7" ht="11.25" customHeight="1">
      <c r="A149" t="s">
        <v>16</v>
      </c>
      <c r="B149" t="s">
        <v>3171</v>
      </c>
      <c r="C149" t="s">
        <v>3172</v>
      </c>
      <c r="D149" t="s">
        <v>3207</v>
      </c>
      <c r="E149" t="s">
        <v>3208</v>
      </c>
      <c r="F149" t="s">
        <v>2830</v>
      </c>
      <c r="G149" t="s">
        <v>3209</v>
      </c>
    </row>
    <row r="150" spans="1:7" ht="11.25" customHeight="1">
      <c r="A150" t="s">
        <v>16</v>
      </c>
      <c r="B150" t="s">
        <v>3171</v>
      </c>
      <c r="C150" t="s">
        <v>3172</v>
      </c>
      <c r="D150" t="s">
        <v>3210</v>
      </c>
      <c r="E150" t="s">
        <v>3211</v>
      </c>
      <c r="F150" t="s">
        <v>2830</v>
      </c>
      <c r="G150" t="s">
        <v>3212</v>
      </c>
    </row>
    <row r="151" spans="1:7" ht="11.25" customHeight="1">
      <c r="A151" t="s">
        <v>16</v>
      </c>
      <c r="B151" t="s">
        <v>3171</v>
      </c>
      <c r="C151" t="s">
        <v>3172</v>
      </c>
      <c r="D151" t="s">
        <v>3213</v>
      </c>
      <c r="E151" t="s">
        <v>3214</v>
      </c>
      <c r="F151" t="s">
        <v>2830</v>
      </c>
      <c r="G151" t="s">
        <v>3215</v>
      </c>
    </row>
    <row r="152" spans="1:7" ht="11.25" customHeight="1">
      <c r="A152" t="s">
        <v>16</v>
      </c>
      <c r="B152" t="s">
        <v>3171</v>
      </c>
      <c r="C152" t="s">
        <v>3172</v>
      </c>
      <c r="D152" t="s">
        <v>3216</v>
      </c>
      <c r="E152" t="s">
        <v>3217</v>
      </c>
      <c r="F152" t="s">
        <v>2830</v>
      </c>
      <c r="G152" t="s">
        <v>3218</v>
      </c>
    </row>
    <row r="153" spans="1:7" ht="11.25" customHeight="1">
      <c r="A153" t="s">
        <v>16</v>
      </c>
      <c r="B153" t="s">
        <v>3171</v>
      </c>
      <c r="C153" t="s">
        <v>3172</v>
      </c>
      <c r="D153" t="s">
        <v>3219</v>
      </c>
      <c r="E153" t="s">
        <v>3220</v>
      </c>
      <c r="F153" t="s">
        <v>2830</v>
      </c>
      <c r="G153" t="s">
        <v>3221</v>
      </c>
    </row>
    <row r="154" spans="1:7" ht="11.25" customHeight="1">
      <c r="A154" t="s">
        <v>16</v>
      </c>
      <c r="B154" t="s">
        <v>3171</v>
      </c>
      <c r="C154" t="s">
        <v>3172</v>
      </c>
      <c r="D154" t="s">
        <v>3222</v>
      </c>
      <c r="E154" t="s">
        <v>3223</v>
      </c>
      <c r="F154" t="s">
        <v>2830</v>
      </c>
      <c r="G154" t="s">
        <v>3224</v>
      </c>
    </row>
    <row r="155" spans="1:7" ht="11.25" customHeight="1">
      <c r="A155" t="s">
        <v>16</v>
      </c>
      <c r="B155" t="s">
        <v>3225</v>
      </c>
      <c r="C155" t="s">
        <v>3226</v>
      </c>
      <c r="D155" t="s">
        <v>3227</v>
      </c>
      <c r="E155" t="s">
        <v>3228</v>
      </c>
      <c r="F155" t="s">
        <v>2830</v>
      </c>
      <c r="G155" t="s">
        <v>3229</v>
      </c>
    </row>
    <row r="156" spans="1:7" ht="11.25" customHeight="1">
      <c r="A156" t="s">
        <v>16</v>
      </c>
      <c r="B156" t="s">
        <v>3225</v>
      </c>
      <c r="C156" t="s">
        <v>3226</v>
      </c>
      <c r="D156" t="s">
        <v>3230</v>
      </c>
      <c r="E156" t="s">
        <v>3231</v>
      </c>
      <c r="F156" t="s">
        <v>2830</v>
      </c>
      <c r="G156" t="s">
        <v>3232</v>
      </c>
    </row>
    <row r="157" spans="1:7" ht="11.25" customHeight="1">
      <c r="A157" t="s">
        <v>16</v>
      </c>
      <c r="B157" t="s">
        <v>3225</v>
      </c>
      <c r="C157" t="s">
        <v>3226</v>
      </c>
      <c r="D157" t="s">
        <v>3233</v>
      </c>
      <c r="E157" t="s">
        <v>3234</v>
      </c>
      <c r="F157" t="s">
        <v>2830</v>
      </c>
      <c r="G157" t="s">
        <v>3235</v>
      </c>
    </row>
    <row r="158" spans="1:7" ht="11.25" customHeight="1">
      <c r="A158" t="s">
        <v>16</v>
      </c>
      <c r="B158" t="s">
        <v>3225</v>
      </c>
      <c r="C158" t="s">
        <v>3226</v>
      </c>
      <c r="D158" t="s">
        <v>2905</v>
      </c>
      <c r="E158" t="s">
        <v>3236</v>
      </c>
      <c r="F158" t="s">
        <v>2830</v>
      </c>
      <c r="G158" t="s">
        <v>3237</v>
      </c>
    </row>
    <row r="159" spans="1:7" ht="11.25" customHeight="1">
      <c r="A159" t="s">
        <v>16</v>
      </c>
      <c r="B159" t="s">
        <v>3225</v>
      </c>
      <c r="C159" t="s">
        <v>3226</v>
      </c>
      <c r="D159" t="s">
        <v>3225</v>
      </c>
      <c r="E159" t="s">
        <v>3226</v>
      </c>
      <c r="F159" t="s">
        <v>2827</v>
      </c>
      <c r="G159" t="s">
        <v>3238</v>
      </c>
    </row>
    <row r="160" spans="1:7" ht="11.25" customHeight="1">
      <c r="A160" t="s">
        <v>16</v>
      </c>
      <c r="B160" t="s">
        <v>3225</v>
      </c>
      <c r="C160" t="s">
        <v>3226</v>
      </c>
      <c r="D160" t="s">
        <v>3239</v>
      </c>
      <c r="E160" t="s">
        <v>3240</v>
      </c>
      <c r="F160" t="s">
        <v>2830</v>
      </c>
      <c r="G160" t="s">
        <v>3241</v>
      </c>
    </row>
    <row r="161" spans="1:7" ht="11.25" customHeight="1">
      <c r="A161" t="s">
        <v>16</v>
      </c>
      <c r="B161" t="s">
        <v>3225</v>
      </c>
      <c r="C161" t="s">
        <v>3226</v>
      </c>
      <c r="D161" t="s">
        <v>3242</v>
      </c>
      <c r="E161" t="s">
        <v>3243</v>
      </c>
      <c r="F161" t="s">
        <v>2830</v>
      </c>
      <c r="G161" t="s">
        <v>3244</v>
      </c>
    </row>
    <row r="162" spans="1:7" ht="11.25" customHeight="1">
      <c r="A162" t="s">
        <v>16</v>
      </c>
      <c r="B162" t="s">
        <v>3225</v>
      </c>
      <c r="C162" t="s">
        <v>3226</v>
      </c>
      <c r="D162" t="s">
        <v>3245</v>
      </c>
      <c r="E162" t="s">
        <v>3246</v>
      </c>
      <c r="F162" t="s">
        <v>2830</v>
      </c>
      <c r="G162" t="s">
        <v>3247</v>
      </c>
    </row>
    <row r="163" spans="1:7" ht="11.25" customHeight="1">
      <c r="A163" t="s">
        <v>16</v>
      </c>
      <c r="B163" t="s">
        <v>3225</v>
      </c>
      <c r="C163" t="s">
        <v>3226</v>
      </c>
      <c r="D163" t="s">
        <v>3248</v>
      </c>
      <c r="E163" t="s">
        <v>3249</v>
      </c>
      <c r="F163" t="s">
        <v>2830</v>
      </c>
      <c r="G163" t="s">
        <v>3250</v>
      </c>
    </row>
    <row r="164" spans="1:7" ht="11.25" customHeight="1">
      <c r="A164" t="s">
        <v>16</v>
      </c>
      <c r="B164" t="s">
        <v>3251</v>
      </c>
      <c r="C164" t="s">
        <v>3252</v>
      </c>
      <c r="D164" t="s">
        <v>3253</v>
      </c>
      <c r="E164" t="s">
        <v>3254</v>
      </c>
      <c r="F164" t="s">
        <v>2830</v>
      </c>
      <c r="G164" t="s">
        <v>3255</v>
      </c>
    </row>
    <row r="165" spans="1:7" ht="11.25" customHeight="1">
      <c r="A165" t="s">
        <v>16</v>
      </c>
      <c r="B165" t="s">
        <v>3251</v>
      </c>
      <c r="C165" t="s">
        <v>3252</v>
      </c>
      <c r="D165" t="s">
        <v>3256</v>
      </c>
      <c r="E165" t="s">
        <v>3257</v>
      </c>
      <c r="F165" t="s">
        <v>2830</v>
      </c>
      <c r="G165" t="s">
        <v>3258</v>
      </c>
    </row>
    <row r="166" spans="1:7" ht="11.25" customHeight="1">
      <c r="A166" t="s">
        <v>16</v>
      </c>
      <c r="B166" t="s">
        <v>3251</v>
      </c>
      <c r="C166" t="s">
        <v>3252</v>
      </c>
      <c r="D166" t="s">
        <v>2839</v>
      </c>
      <c r="E166" t="s">
        <v>3259</v>
      </c>
      <c r="F166" t="s">
        <v>2830</v>
      </c>
      <c r="G166" t="s">
        <v>3260</v>
      </c>
    </row>
    <row r="167" spans="1:7" ht="11.25" customHeight="1">
      <c r="A167" t="s">
        <v>16</v>
      </c>
      <c r="B167" t="s">
        <v>3251</v>
      </c>
      <c r="C167" t="s">
        <v>3252</v>
      </c>
      <c r="D167" t="s">
        <v>3261</v>
      </c>
      <c r="E167" t="s">
        <v>3262</v>
      </c>
      <c r="F167" t="s">
        <v>2830</v>
      </c>
      <c r="G167" t="s">
        <v>3263</v>
      </c>
    </row>
    <row r="168" spans="1:7" ht="11.25" customHeight="1">
      <c r="A168" t="s">
        <v>16</v>
      </c>
      <c r="B168" t="s">
        <v>3251</v>
      </c>
      <c r="C168" t="s">
        <v>3252</v>
      </c>
      <c r="D168" t="s">
        <v>3264</v>
      </c>
      <c r="E168" t="s">
        <v>3265</v>
      </c>
      <c r="F168" t="s">
        <v>2830</v>
      </c>
      <c r="G168" t="s">
        <v>3266</v>
      </c>
    </row>
    <row r="169" spans="1:7" ht="11.25" customHeight="1">
      <c r="A169" t="s">
        <v>16</v>
      </c>
      <c r="B169" t="s">
        <v>3251</v>
      </c>
      <c r="C169" t="s">
        <v>3252</v>
      </c>
      <c r="D169" t="s">
        <v>3267</v>
      </c>
      <c r="E169" t="s">
        <v>3268</v>
      </c>
      <c r="F169" t="s">
        <v>2830</v>
      </c>
      <c r="G169" t="s">
        <v>3269</v>
      </c>
    </row>
    <row r="170" spans="1:7" ht="11.25" customHeight="1">
      <c r="A170" t="s">
        <v>16</v>
      </c>
      <c r="B170" t="s">
        <v>3251</v>
      </c>
      <c r="C170" t="s">
        <v>3252</v>
      </c>
      <c r="D170" t="s">
        <v>3270</v>
      </c>
      <c r="E170" t="s">
        <v>3271</v>
      </c>
      <c r="F170" t="s">
        <v>2830</v>
      </c>
      <c r="G170" t="s">
        <v>3272</v>
      </c>
    </row>
    <row r="171" spans="1:7" ht="11.25" customHeight="1">
      <c r="A171" t="s">
        <v>16</v>
      </c>
      <c r="B171" t="s">
        <v>3251</v>
      </c>
      <c r="C171" t="s">
        <v>3252</v>
      </c>
      <c r="D171" t="s">
        <v>3251</v>
      </c>
      <c r="E171" t="s">
        <v>3252</v>
      </c>
      <c r="F171" t="s">
        <v>2827</v>
      </c>
      <c r="G171" t="s">
        <v>3273</v>
      </c>
    </row>
    <row r="172" spans="1:7" ht="11.25" customHeight="1">
      <c r="A172" t="s">
        <v>16</v>
      </c>
      <c r="B172" t="s">
        <v>3251</v>
      </c>
      <c r="C172" t="s">
        <v>3252</v>
      </c>
      <c r="D172" t="s">
        <v>3274</v>
      </c>
      <c r="E172" t="s">
        <v>3275</v>
      </c>
      <c r="F172" t="s">
        <v>2830</v>
      </c>
      <c r="G172" t="s">
        <v>3276</v>
      </c>
    </row>
    <row r="173" spans="1:7" ht="11.25" customHeight="1">
      <c r="A173" t="s">
        <v>16</v>
      </c>
      <c r="B173" t="s">
        <v>3251</v>
      </c>
      <c r="C173" t="s">
        <v>3252</v>
      </c>
      <c r="D173" t="s">
        <v>3277</v>
      </c>
      <c r="E173" t="s">
        <v>3278</v>
      </c>
      <c r="F173" t="s">
        <v>2830</v>
      </c>
      <c r="G173" t="s">
        <v>3279</v>
      </c>
    </row>
    <row r="174" spans="1:7" ht="11.25" customHeight="1">
      <c r="A174" t="s">
        <v>16</v>
      </c>
      <c r="B174" t="s">
        <v>3251</v>
      </c>
      <c r="C174" t="s">
        <v>3252</v>
      </c>
      <c r="D174" t="s">
        <v>3280</v>
      </c>
      <c r="E174" t="s">
        <v>3281</v>
      </c>
      <c r="F174" t="s">
        <v>2830</v>
      </c>
      <c r="G174" t="s">
        <v>3282</v>
      </c>
    </row>
    <row r="175" spans="1:7" ht="11.25" customHeight="1">
      <c r="A175" t="s">
        <v>16</v>
      </c>
      <c r="B175" t="s">
        <v>3283</v>
      </c>
      <c r="C175" t="s">
        <v>3284</v>
      </c>
      <c r="D175" t="s">
        <v>3253</v>
      </c>
      <c r="E175" t="s">
        <v>3285</v>
      </c>
      <c r="F175" t="s">
        <v>2830</v>
      </c>
      <c r="G175" t="s">
        <v>3286</v>
      </c>
    </row>
    <row r="176" spans="1:7" ht="11.25" customHeight="1">
      <c r="A176" t="s">
        <v>16</v>
      </c>
      <c r="B176" t="s">
        <v>3283</v>
      </c>
      <c r="C176" t="s">
        <v>3284</v>
      </c>
      <c r="D176" t="s">
        <v>3287</v>
      </c>
      <c r="E176" t="s">
        <v>3288</v>
      </c>
      <c r="F176" t="s">
        <v>2830</v>
      </c>
      <c r="G176" t="s">
        <v>3289</v>
      </c>
    </row>
    <row r="177" spans="1:7" ht="11.25" customHeight="1">
      <c r="A177" t="s">
        <v>16</v>
      </c>
      <c r="B177" t="s">
        <v>3283</v>
      </c>
      <c r="C177" t="s">
        <v>3284</v>
      </c>
      <c r="D177" t="s">
        <v>3290</v>
      </c>
      <c r="E177" t="s">
        <v>3291</v>
      </c>
      <c r="F177" t="s">
        <v>2830</v>
      </c>
      <c r="G177" t="s">
        <v>3292</v>
      </c>
    </row>
    <row r="178" spans="1:7" ht="11.25" customHeight="1">
      <c r="A178" t="s">
        <v>16</v>
      </c>
      <c r="B178" t="s">
        <v>3283</v>
      </c>
      <c r="C178" t="s">
        <v>3284</v>
      </c>
      <c r="D178" t="s">
        <v>3293</v>
      </c>
      <c r="E178" t="s">
        <v>3294</v>
      </c>
      <c r="F178" t="s">
        <v>2830</v>
      </c>
      <c r="G178" t="s">
        <v>3295</v>
      </c>
    </row>
    <row r="179" spans="1:7" ht="11.25" customHeight="1">
      <c r="A179" t="s">
        <v>16</v>
      </c>
      <c r="B179" t="s">
        <v>3283</v>
      </c>
      <c r="C179" t="s">
        <v>3284</v>
      </c>
      <c r="D179" t="s">
        <v>3296</v>
      </c>
      <c r="E179" t="s">
        <v>3297</v>
      </c>
      <c r="F179" t="s">
        <v>2830</v>
      </c>
      <c r="G179" t="s">
        <v>3298</v>
      </c>
    </row>
    <row r="180" spans="1:7" ht="11.25" customHeight="1">
      <c r="A180" t="s">
        <v>16</v>
      </c>
      <c r="B180" t="s">
        <v>3283</v>
      </c>
      <c r="C180" t="s">
        <v>3284</v>
      </c>
      <c r="D180" t="s">
        <v>3299</v>
      </c>
      <c r="E180" t="s">
        <v>3300</v>
      </c>
      <c r="F180" t="s">
        <v>2830</v>
      </c>
      <c r="G180" t="s">
        <v>3301</v>
      </c>
    </row>
    <row r="181" spans="1:7" ht="11.25" customHeight="1">
      <c r="A181" t="s">
        <v>16</v>
      </c>
      <c r="B181" t="s">
        <v>3283</v>
      </c>
      <c r="C181" t="s">
        <v>3284</v>
      </c>
      <c r="D181" t="s">
        <v>3283</v>
      </c>
      <c r="E181" t="s">
        <v>3284</v>
      </c>
      <c r="F181" t="s">
        <v>2827</v>
      </c>
      <c r="G181" t="s">
        <v>3302</v>
      </c>
    </row>
    <row r="182" spans="1:7" ht="11.25" customHeight="1">
      <c r="A182" t="s">
        <v>16</v>
      </c>
      <c r="B182" t="s">
        <v>3283</v>
      </c>
      <c r="C182" t="s">
        <v>3284</v>
      </c>
      <c r="D182" t="s">
        <v>3303</v>
      </c>
      <c r="E182" t="s">
        <v>3304</v>
      </c>
      <c r="F182" t="s">
        <v>2830</v>
      </c>
      <c r="G182" t="s">
        <v>3305</v>
      </c>
    </row>
    <row r="183" spans="1:7" ht="11.25" customHeight="1">
      <c r="A183" t="s">
        <v>16</v>
      </c>
      <c r="B183" t="s">
        <v>3306</v>
      </c>
      <c r="C183" t="s">
        <v>3307</v>
      </c>
      <c r="D183" t="s">
        <v>3308</v>
      </c>
      <c r="E183" t="s">
        <v>3309</v>
      </c>
      <c r="F183" t="s">
        <v>2830</v>
      </c>
      <c r="G183" t="s">
        <v>3310</v>
      </c>
    </row>
    <row r="184" spans="1:7" ht="11.25" customHeight="1">
      <c r="A184" t="s">
        <v>16</v>
      </c>
      <c r="B184" t="s">
        <v>3306</v>
      </c>
      <c r="C184" t="s">
        <v>3307</v>
      </c>
      <c r="D184" t="s">
        <v>3311</v>
      </c>
      <c r="E184" t="s">
        <v>3312</v>
      </c>
      <c r="F184" t="s">
        <v>2830</v>
      </c>
      <c r="G184" t="s">
        <v>3313</v>
      </c>
    </row>
    <row r="185" spans="1:7" ht="11.25" customHeight="1">
      <c r="A185" t="s">
        <v>16</v>
      </c>
      <c r="B185" t="s">
        <v>3306</v>
      </c>
      <c r="C185" t="s">
        <v>3307</v>
      </c>
      <c r="D185" t="s">
        <v>3314</v>
      </c>
      <c r="E185" t="s">
        <v>3315</v>
      </c>
      <c r="F185" t="s">
        <v>2830</v>
      </c>
      <c r="G185" t="s">
        <v>3316</v>
      </c>
    </row>
    <row r="186" spans="1:7" ht="11.25" customHeight="1">
      <c r="A186" t="s">
        <v>16</v>
      </c>
      <c r="B186" t="s">
        <v>3306</v>
      </c>
      <c r="C186" t="s">
        <v>3307</v>
      </c>
      <c r="D186" t="s">
        <v>3317</v>
      </c>
      <c r="E186" t="s">
        <v>3318</v>
      </c>
      <c r="F186" t="s">
        <v>2830</v>
      </c>
      <c r="G186" t="s">
        <v>3319</v>
      </c>
    </row>
    <row r="187" spans="1:7" ht="11.25" customHeight="1">
      <c r="A187" t="s">
        <v>16</v>
      </c>
      <c r="B187" t="s">
        <v>3306</v>
      </c>
      <c r="C187" t="s">
        <v>3307</v>
      </c>
      <c r="D187" t="s">
        <v>3320</v>
      </c>
      <c r="E187" t="s">
        <v>3321</v>
      </c>
      <c r="F187" t="s">
        <v>2830</v>
      </c>
      <c r="G187" t="s">
        <v>3322</v>
      </c>
    </row>
    <row r="188" spans="1:7" ht="11.25" customHeight="1">
      <c r="A188" t="s">
        <v>16</v>
      </c>
      <c r="B188" t="s">
        <v>3306</v>
      </c>
      <c r="C188" t="s">
        <v>3307</v>
      </c>
      <c r="D188" t="s">
        <v>3323</v>
      </c>
      <c r="E188" t="s">
        <v>3324</v>
      </c>
      <c r="F188" t="s">
        <v>2830</v>
      </c>
      <c r="G188" t="s">
        <v>3325</v>
      </c>
    </row>
    <row r="189" spans="1:7" ht="11.25" customHeight="1">
      <c r="A189" t="s">
        <v>16</v>
      </c>
      <c r="B189" t="s">
        <v>3306</v>
      </c>
      <c r="C189" t="s">
        <v>3307</v>
      </c>
      <c r="D189" t="s">
        <v>3326</v>
      </c>
      <c r="E189" t="s">
        <v>3327</v>
      </c>
      <c r="F189" t="s">
        <v>2830</v>
      </c>
      <c r="G189" t="s">
        <v>3328</v>
      </c>
    </row>
    <row r="190" spans="1:7" ht="11.25" customHeight="1">
      <c r="A190" t="s">
        <v>16</v>
      </c>
      <c r="B190" t="s">
        <v>3306</v>
      </c>
      <c r="C190" t="s">
        <v>3307</v>
      </c>
      <c r="D190" t="s">
        <v>3329</v>
      </c>
      <c r="E190" t="s">
        <v>3330</v>
      </c>
      <c r="F190" t="s">
        <v>2830</v>
      </c>
      <c r="G190" t="s">
        <v>3331</v>
      </c>
    </row>
    <row r="191" spans="1:7" ht="11.25" customHeight="1">
      <c r="A191" t="s">
        <v>16</v>
      </c>
      <c r="B191" t="s">
        <v>3306</v>
      </c>
      <c r="C191" t="s">
        <v>3307</v>
      </c>
      <c r="D191" t="s">
        <v>2970</v>
      </c>
      <c r="E191" t="s">
        <v>3332</v>
      </c>
      <c r="F191" t="s">
        <v>2830</v>
      </c>
      <c r="G191" t="s">
        <v>3333</v>
      </c>
    </row>
    <row r="192" spans="1:7" ht="11.25" customHeight="1">
      <c r="A192" t="s">
        <v>16</v>
      </c>
      <c r="B192" t="s">
        <v>3306</v>
      </c>
      <c r="C192" t="s">
        <v>3307</v>
      </c>
      <c r="D192" t="s">
        <v>3334</v>
      </c>
      <c r="E192" t="s">
        <v>3335</v>
      </c>
      <c r="F192" t="s">
        <v>2830</v>
      </c>
      <c r="G192" t="s">
        <v>3336</v>
      </c>
    </row>
    <row r="193" spans="1:7" ht="11.25" customHeight="1">
      <c r="A193" t="s">
        <v>16</v>
      </c>
      <c r="B193" t="s">
        <v>3306</v>
      </c>
      <c r="C193" t="s">
        <v>3307</v>
      </c>
      <c r="D193" t="s">
        <v>3337</v>
      </c>
      <c r="E193" t="s">
        <v>3338</v>
      </c>
      <c r="F193" t="s">
        <v>2830</v>
      </c>
      <c r="G193" t="s">
        <v>3339</v>
      </c>
    </row>
    <row r="194" spans="1:7" ht="11.25" customHeight="1">
      <c r="A194" t="s">
        <v>16</v>
      </c>
      <c r="B194" t="s">
        <v>3306</v>
      </c>
      <c r="C194" t="s">
        <v>3307</v>
      </c>
      <c r="D194" t="s">
        <v>3340</v>
      </c>
      <c r="E194" t="s">
        <v>3341</v>
      </c>
      <c r="F194" t="s">
        <v>2830</v>
      </c>
      <c r="G194" t="s">
        <v>3342</v>
      </c>
    </row>
    <row r="195" spans="1:7" ht="11.25" customHeight="1">
      <c r="A195" t="s">
        <v>16</v>
      </c>
      <c r="B195" t="s">
        <v>3306</v>
      </c>
      <c r="C195" t="s">
        <v>3307</v>
      </c>
      <c r="D195" t="s">
        <v>3343</v>
      </c>
      <c r="E195" t="s">
        <v>3344</v>
      </c>
      <c r="F195" t="s">
        <v>2830</v>
      </c>
      <c r="G195" t="s">
        <v>3345</v>
      </c>
    </row>
    <row r="196" spans="1:7" ht="11.25" customHeight="1">
      <c r="A196" t="s">
        <v>16</v>
      </c>
      <c r="B196" t="s">
        <v>3306</v>
      </c>
      <c r="C196" t="s">
        <v>3307</v>
      </c>
      <c r="D196" t="s">
        <v>3346</v>
      </c>
      <c r="E196" t="s">
        <v>3347</v>
      </c>
      <c r="F196" t="s">
        <v>2830</v>
      </c>
      <c r="G196" t="s">
        <v>3348</v>
      </c>
    </row>
    <row r="197" spans="1:7" ht="11.25" customHeight="1">
      <c r="A197" t="s">
        <v>16</v>
      </c>
      <c r="B197" t="s">
        <v>3306</v>
      </c>
      <c r="C197" t="s">
        <v>3307</v>
      </c>
      <c r="D197" t="s">
        <v>3349</v>
      </c>
      <c r="E197" t="s">
        <v>3350</v>
      </c>
      <c r="F197" t="s">
        <v>2830</v>
      </c>
      <c r="G197" t="s">
        <v>3351</v>
      </c>
    </row>
    <row r="198" spans="1:7" ht="11.25" customHeight="1">
      <c r="A198" t="s">
        <v>16</v>
      </c>
      <c r="B198" t="s">
        <v>3306</v>
      </c>
      <c r="C198" t="s">
        <v>3307</v>
      </c>
      <c r="D198" t="s">
        <v>3352</v>
      </c>
      <c r="E198" t="s">
        <v>3353</v>
      </c>
      <c r="F198" t="s">
        <v>2830</v>
      </c>
      <c r="G198" t="s">
        <v>3354</v>
      </c>
    </row>
    <row r="199" spans="1:7" ht="11.25" customHeight="1">
      <c r="A199" t="s">
        <v>16</v>
      </c>
      <c r="B199" t="s">
        <v>3306</v>
      </c>
      <c r="C199" t="s">
        <v>3307</v>
      </c>
      <c r="D199" t="s">
        <v>3355</v>
      </c>
      <c r="E199" t="s">
        <v>3356</v>
      </c>
      <c r="F199" t="s">
        <v>2830</v>
      </c>
      <c r="G199" t="s">
        <v>3357</v>
      </c>
    </row>
    <row r="200" spans="1:7" ht="11.25" customHeight="1">
      <c r="A200" t="s">
        <v>16</v>
      </c>
      <c r="B200" t="s">
        <v>3306</v>
      </c>
      <c r="C200" t="s">
        <v>3307</v>
      </c>
      <c r="D200" t="s">
        <v>3358</v>
      </c>
      <c r="E200" t="s">
        <v>3359</v>
      </c>
      <c r="F200" t="s">
        <v>2830</v>
      </c>
      <c r="G200" t="s">
        <v>3360</v>
      </c>
    </row>
    <row r="201" spans="1:7" ht="11.25" customHeight="1">
      <c r="A201" t="s">
        <v>16</v>
      </c>
      <c r="B201" t="s">
        <v>3306</v>
      </c>
      <c r="C201" t="s">
        <v>3307</v>
      </c>
      <c r="D201" t="s">
        <v>3361</v>
      </c>
      <c r="E201" t="s">
        <v>3362</v>
      </c>
      <c r="F201" t="s">
        <v>2830</v>
      </c>
      <c r="G201" t="s">
        <v>3363</v>
      </c>
    </row>
    <row r="202" spans="1:7" ht="11.25" customHeight="1">
      <c r="A202" t="s">
        <v>16</v>
      </c>
      <c r="B202" t="s">
        <v>3306</v>
      </c>
      <c r="C202" t="s">
        <v>3307</v>
      </c>
      <c r="D202" t="s">
        <v>3364</v>
      </c>
      <c r="E202" t="s">
        <v>3365</v>
      </c>
      <c r="F202" t="s">
        <v>2830</v>
      </c>
      <c r="G202" t="s">
        <v>3366</v>
      </c>
    </row>
    <row r="203" spans="1:7" ht="11.25" customHeight="1">
      <c r="A203" t="s">
        <v>16</v>
      </c>
      <c r="B203" t="s">
        <v>3306</v>
      </c>
      <c r="C203" t="s">
        <v>3307</v>
      </c>
      <c r="D203" t="s">
        <v>3306</v>
      </c>
      <c r="E203" t="s">
        <v>3307</v>
      </c>
      <c r="F203" t="s">
        <v>2827</v>
      </c>
      <c r="G203" t="s">
        <v>3367</v>
      </c>
    </row>
    <row r="204" spans="1:7" ht="11.25" customHeight="1">
      <c r="A204" t="s">
        <v>16</v>
      </c>
      <c r="B204" t="s">
        <v>3306</v>
      </c>
      <c r="C204" t="s">
        <v>3307</v>
      </c>
      <c r="D204" t="s">
        <v>3368</v>
      </c>
      <c r="E204" t="s">
        <v>3369</v>
      </c>
      <c r="F204" t="s">
        <v>2830</v>
      </c>
      <c r="G204" t="s">
        <v>3370</v>
      </c>
    </row>
    <row r="205" spans="1:7" ht="11.25" customHeight="1">
      <c r="A205" t="s">
        <v>16</v>
      </c>
      <c r="B205" t="s">
        <v>3306</v>
      </c>
      <c r="C205" t="s">
        <v>3307</v>
      </c>
      <c r="D205" t="s">
        <v>3371</v>
      </c>
      <c r="E205" t="s">
        <v>3372</v>
      </c>
      <c r="F205" t="s">
        <v>2830</v>
      </c>
      <c r="G205" t="s">
        <v>3373</v>
      </c>
    </row>
    <row r="206" spans="1:7" ht="11.25" customHeight="1">
      <c r="A206" t="s">
        <v>16</v>
      </c>
      <c r="B206" t="s">
        <v>3374</v>
      </c>
      <c r="C206" t="s">
        <v>3375</v>
      </c>
      <c r="D206" t="s">
        <v>3376</v>
      </c>
      <c r="E206" t="s">
        <v>3377</v>
      </c>
      <c r="F206" t="s">
        <v>2830</v>
      </c>
      <c r="G206" t="s">
        <v>3378</v>
      </c>
    </row>
    <row r="207" spans="1:7" ht="11.25" customHeight="1">
      <c r="A207" t="s">
        <v>16</v>
      </c>
      <c r="B207" t="s">
        <v>3374</v>
      </c>
      <c r="C207" t="s">
        <v>3375</v>
      </c>
      <c r="D207" t="s">
        <v>3379</v>
      </c>
      <c r="E207" t="s">
        <v>3380</v>
      </c>
      <c r="F207" t="s">
        <v>2830</v>
      </c>
      <c r="G207" t="s">
        <v>3381</v>
      </c>
    </row>
    <row r="208" spans="1:7" ht="11.25" customHeight="1">
      <c r="A208" t="s">
        <v>16</v>
      </c>
      <c r="B208" t="s">
        <v>3374</v>
      </c>
      <c r="C208" t="s">
        <v>3375</v>
      </c>
      <c r="D208" t="s">
        <v>3382</v>
      </c>
      <c r="E208" t="s">
        <v>3383</v>
      </c>
      <c r="F208" t="s">
        <v>2830</v>
      </c>
      <c r="G208" t="s">
        <v>3384</v>
      </c>
    </row>
    <row r="209" spans="1:7" ht="11.25" customHeight="1">
      <c r="A209" t="s">
        <v>16</v>
      </c>
      <c r="B209" t="s">
        <v>3374</v>
      </c>
      <c r="C209" t="s">
        <v>3375</v>
      </c>
      <c r="D209" t="s">
        <v>3385</v>
      </c>
      <c r="E209" t="s">
        <v>3386</v>
      </c>
      <c r="F209" t="s">
        <v>2830</v>
      </c>
      <c r="G209" t="s">
        <v>3387</v>
      </c>
    </row>
    <row r="210" spans="1:7" ht="11.25" customHeight="1">
      <c r="A210" t="s">
        <v>16</v>
      </c>
      <c r="B210" t="s">
        <v>3374</v>
      </c>
      <c r="C210" t="s">
        <v>3375</v>
      </c>
      <c r="D210" t="s">
        <v>3388</v>
      </c>
      <c r="E210" t="s">
        <v>3389</v>
      </c>
      <c r="F210" t="s">
        <v>2830</v>
      </c>
      <c r="G210" t="s">
        <v>3390</v>
      </c>
    </row>
    <row r="211" spans="1:7" ht="11.25" customHeight="1">
      <c r="A211" t="s">
        <v>16</v>
      </c>
      <c r="B211" t="s">
        <v>3374</v>
      </c>
      <c r="C211" t="s">
        <v>3375</v>
      </c>
      <c r="D211" t="s">
        <v>3391</v>
      </c>
      <c r="E211" t="s">
        <v>3392</v>
      </c>
      <c r="F211" t="s">
        <v>2830</v>
      </c>
      <c r="G211" t="s">
        <v>3393</v>
      </c>
    </row>
    <row r="212" spans="1:7" ht="11.25" customHeight="1">
      <c r="A212" t="s">
        <v>16</v>
      </c>
      <c r="B212" t="s">
        <v>3374</v>
      </c>
      <c r="C212" t="s">
        <v>3375</v>
      </c>
      <c r="D212" t="s">
        <v>3394</v>
      </c>
      <c r="E212" t="s">
        <v>3395</v>
      </c>
      <c r="F212" t="s">
        <v>2830</v>
      </c>
      <c r="G212" t="s">
        <v>3396</v>
      </c>
    </row>
    <row r="213" spans="1:7" ht="11.25" customHeight="1">
      <c r="A213" t="s">
        <v>16</v>
      </c>
      <c r="B213" t="s">
        <v>3374</v>
      </c>
      <c r="C213" t="s">
        <v>3375</v>
      </c>
      <c r="D213" t="s">
        <v>3397</v>
      </c>
      <c r="E213" t="s">
        <v>3398</v>
      </c>
      <c r="F213" t="s">
        <v>2830</v>
      </c>
      <c r="G213" t="s">
        <v>3399</v>
      </c>
    </row>
    <row r="214" spans="1:7" ht="11.25" customHeight="1">
      <c r="A214" t="s">
        <v>16</v>
      </c>
      <c r="B214" t="s">
        <v>3374</v>
      </c>
      <c r="C214" t="s">
        <v>3375</v>
      </c>
      <c r="D214" t="s">
        <v>3400</v>
      </c>
      <c r="E214" t="s">
        <v>3401</v>
      </c>
      <c r="F214" t="s">
        <v>2830</v>
      </c>
      <c r="G214" t="s">
        <v>3402</v>
      </c>
    </row>
    <row r="215" spans="1:7" ht="11.25" customHeight="1">
      <c r="A215" t="s">
        <v>16</v>
      </c>
      <c r="B215" t="s">
        <v>3374</v>
      </c>
      <c r="C215" t="s">
        <v>3375</v>
      </c>
      <c r="D215" t="s">
        <v>3403</v>
      </c>
      <c r="E215" t="s">
        <v>3404</v>
      </c>
      <c r="F215" t="s">
        <v>2830</v>
      </c>
      <c r="G215" t="s">
        <v>3405</v>
      </c>
    </row>
    <row r="216" spans="1:7" ht="11.25" customHeight="1">
      <c r="A216" t="s">
        <v>16</v>
      </c>
      <c r="B216" t="s">
        <v>3374</v>
      </c>
      <c r="C216" t="s">
        <v>3375</v>
      </c>
      <c r="D216" t="s">
        <v>3406</v>
      </c>
      <c r="E216" t="s">
        <v>3407</v>
      </c>
      <c r="F216" t="s">
        <v>2830</v>
      </c>
      <c r="G216" t="s">
        <v>3408</v>
      </c>
    </row>
    <row r="217" spans="1:7" ht="11.25" customHeight="1">
      <c r="A217" t="s">
        <v>16</v>
      </c>
      <c r="B217" t="s">
        <v>3374</v>
      </c>
      <c r="C217" t="s">
        <v>3375</v>
      </c>
      <c r="D217" t="s">
        <v>3409</v>
      </c>
      <c r="E217" t="s">
        <v>3410</v>
      </c>
      <c r="F217" t="s">
        <v>2830</v>
      </c>
      <c r="G217" t="s">
        <v>3411</v>
      </c>
    </row>
    <row r="218" spans="1:7" ht="11.25" customHeight="1">
      <c r="A218" t="s">
        <v>16</v>
      </c>
      <c r="B218" t="s">
        <v>3374</v>
      </c>
      <c r="C218" t="s">
        <v>3375</v>
      </c>
      <c r="D218" t="s">
        <v>3412</v>
      </c>
      <c r="E218" t="s">
        <v>3413</v>
      </c>
      <c r="F218" t="s">
        <v>2830</v>
      </c>
      <c r="G218" t="s">
        <v>3414</v>
      </c>
    </row>
    <row r="219" spans="1:7" ht="11.25" customHeight="1">
      <c r="A219" t="s">
        <v>16</v>
      </c>
      <c r="B219" t="s">
        <v>3374</v>
      </c>
      <c r="C219" t="s">
        <v>3375</v>
      </c>
      <c r="D219" t="s">
        <v>3415</v>
      </c>
      <c r="E219" t="s">
        <v>3416</v>
      </c>
      <c r="F219" t="s">
        <v>2830</v>
      </c>
      <c r="G219" t="s">
        <v>3417</v>
      </c>
    </row>
    <row r="220" spans="1:7" ht="11.25" customHeight="1">
      <c r="A220" t="s">
        <v>16</v>
      </c>
      <c r="B220" t="s">
        <v>3374</v>
      </c>
      <c r="C220" t="s">
        <v>3375</v>
      </c>
      <c r="D220" t="s">
        <v>3418</v>
      </c>
      <c r="E220" t="s">
        <v>3419</v>
      </c>
      <c r="F220" t="s">
        <v>2830</v>
      </c>
      <c r="G220" t="s">
        <v>3420</v>
      </c>
    </row>
    <row r="221" spans="1:7" ht="11.25" customHeight="1">
      <c r="A221" t="s">
        <v>16</v>
      </c>
      <c r="B221" t="s">
        <v>3374</v>
      </c>
      <c r="C221" t="s">
        <v>3375</v>
      </c>
      <c r="D221" t="s">
        <v>3421</v>
      </c>
      <c r="E221" t="s">
        <v>3422</v>
      </c>
      <c r="F221" t="s">
        <v>2830</v>
      </c>
      <c r="G221" t="s">
        <v>3423</v>
      </c>
    </row>
    <row r="222" spans="1:7" ht="11.25" customHeight="1">
      <c r="A222" t="s">
        <v>16</v>
      </c>
      <c r="B222" t="s">
        <v>3374</v>
      </c>
      <c r="C222" t="s">
        <v>3375</v>
      </c>
      <c r="D222" t="s">
        <v>3374</v>
      </c>
      <c r="E222" t="s">
        <v>3375</v>
      </c>
      <c r="F222" t="s">
        <v>2827</v>
      </c>
      <c r="G222" t="s">
        <v>3424</v>
      </c>
    </row>
    <row r="223" spans="1:7" ht="11.25" customHeight="1">
      <c r="A223" t="s">
        <v>16</v>
      </c>
      <c r="B223" t="s">
        <v>3374</v>
      </c>
      <c r="C223" t="s">
        <v>3375</v>
      </c>
      <c r="D223" t="s">
        <v>3425</v>
      </c>
      <c r="E223" t="s">
        <v>3426</v>
      </c>
      <c r="F223" t="s">
        <v>2830</v>
      </c>
      <c r="G223" t="s">
        <v>3427</v>
      </c>
    </row>
    <row r="224" spans="1:7" ht="11.25" customHeight="1">
      <c r="A224" t="s">
        <v>16</v>
      </c>
      <c r="B224" t="s">
        <v>3374</v>
      </c>
      <c r="C224" t="s">
        <v>3375</v>
      </c>
      <c r="D224" t="s">
        <v>3428</v>
      </c>
      <c r="E224" t="s">
        <v>3429</v>
      </c>
      <c r="F224" t="s">
        <v>2830</v>
      </c>
      <c r="G224" t="s">
        <v>3430</v>
      </c>
    </row>
    <row r="225" spans="1:7" ht="11.25" customHeight="1">
      <c r="A225" t="s">
        <v>16</v>
      </c>
      <c r="B225" t="s">
        <v>3374</v>
      </c>
      <c r="C225" t="s">
        <v>3375</v>
      </c>
      <c r="D225" t="s">
        <v>3431</v>
      </c>
      <c r="E225" t="s">
        <v>3432</v>
      </c>
      <c r="F225" t="s">
        <v>2830</v>
      </c>
      <c r="G225" t="s">
        <v>3433</v>
      </c>
    </row>
    <row r="226" spans="1:7" ht="11.25" customHeight="1">
      <c r="A226" t="s">
        <v>16</v>
      </c>
      <c r="B226" t="s">
        <v>3374</v>
      </c>
      <c r="C226" t="s">
        <v>3375</v>
      </c>
      <c r="D226" t="s">
        <v>3434</v>
      </c>
      <c r="E226" t="s">
        <v>3435</v>
      </c>
      <c r="F226" t="s">
        <v>2830</v>
      </c>
      <c r="G226" t="s">
        <v>3436</v>
      </c>
    </row>
    <row r="227" spans="1:7" ht="11.25" customHeight="1">
      <c r="A227" t="s">
        <v>16</v>
      </c>
      <c r="B227" t="s">
        <v>3437</v>
      </c>
      <c r="C227" t="s">
        <v>3438</v>
      </c>
      <c r="D227" t="s">
        <v>3439</v>
      </c>
      <c r="E227" t="s">
        <v>3440</v>
      </c>
      <c r="F227" t="s">
        <v>2830</v>
      </c>
      <c r="G227" t="s">
        <v>3441</v>
      </c>
    </row>
    <row r="228" spans="1:7" ht="11.25" customHeight="1">
      <c r="A228" t="s">
        <v>16</v>
      </c>
      <c r="B228" t="s">
        <v>3437</v>
      </c>
      <c r="C228" t="s">
        <v>3438</v>
      </c>
      <c r="D228" t="s">
        <v>3442</v>
      </c>
      <c r="E228" t="s">
        <v>3443</v>
      </c>
      <c r="F228" t="s">
        <v>2830</v>
      </c>
      <c r="G228" t="s">
        <v>3444</v>
      </c>
    </row>
    <row r="229" spans="1:7" ht="11.25" customHeight="1">
      <c r="A229" t="s">
        <v>16</v>
      </c>
      <c r="B229" t="s">
        <v>3437</v>
      </c>
      <c r="C229" t="s">
        <v>3438</v>
      </c>
      <c r="D229" t="s">
        <v>3445</v>
      </c>
      <c r="E229" t="s">
        <v>3446</v>
      </c>
      <c r="F229" t="s">
        <v>2830</v>
      </c>
      <c r="G229" t="s">
        <v>3447</v>
      </c>
    </row>
    <row r="230" spans="1:7" ht="11.25" customHeight="1">
      <c r="A230" t="s">
        <v>16</v>
      </c>
      <c r="B230" t="s">
        <v>3437</v>
      </c>
      <c r="C230" t="s">
        <v>3438</v>
      </c>
      <c r="D230" t="s">
        <v>2855</v>
      </c>
      <c r="E230" t="s">
        <v>3448</v>
      </c>
      <c r="F230" t="s">
        <v>2830</v>
      </c>
      <c r="G230" t="s">
        <v>3449</v>
      </c>
    </row>
    <row r="231" spans="1:7" ht="11.25" customHeight="1">
      <c r="A231" t="s">
        <v>16</v>
      </c>
      <c r="B231" t="s">
        <v>3437</v>
      </c>
      <c r="C231" t="s">
        <v>3438</v>
      </c>
      <c r="D231" t="s">
        <v>3450</v>
      </c>
      <c r="E231" t="s">
        <v>3451</v>
      </c>
      <c r="F231" t="s">
        <v>2830</v>
      </c>
      <c r="G231" t="s">
        <v>3452</v>
      </c>
    </row>
    <row r="232" spans="1:7" ht="11.25" customHeight="1">
      <c r="A232" t="s">
        <v>16</v>
      </c>
      <c r="B232" t="s">
        <v>3437</v>
      </c>
      <c r="C232" t="s">
        <v>3438</v>
      </c>
      <c r="D232" t="s">
        <v>3453</v>
      </c>
      <c r="E232" t="s">
        <v>3454</v>
      </c>
      <c r="F232" t="s">
        <v>3455</v>
      </c>
      <c r="G232" t="s">
        <v>3456</v>
      </c>
    </row>
    <row r="233" spans="1:7" ht="11.25" customHeight="1">
      <c r="A233" t="s">
        <v>16</v>
      </c>
      <c r="B233" t="s">
        <v>3437</v>
      </c>
      <c r="C233" t="s">
        <v>3438</v>
      </c>
      <c r="D233" t="s">
        <v>3457</v>
      </c>
      <c r="E233" t="s">
        <v>3458</v>
      </c>
      <c r="F233" t="s">
        <v>2830</v>
      </c>
      <c r="G233" t="s">
        <v>3459</v>
      </c>
    </row>
    <row r="234" spans="1:7" ht="11.25" customHeight="1">
      <c r="A234" t="s">
        <v>16</v>
      </c>
      <c r="B234" t="s">
        <v>3437</v>
      </c>
      <c r="C234" t="s">
        <v>3438</v>
      </c>
      <c r="D234" t="s">
        <v>3460</v>
      </c>
      <c r="E234" t="s">
        <v>3461</v>
      </c>
      <c r="F234" t="s">
        <v>2830</v>
      </c>
      <c r="G234" t="s">
        <v>3462</v>
      </c>
    </row>
    <row r="235" spans="1:7" ht="11.25" customHeight="1">
      <c r="A235" t="s">
        <v>16</v>
      </c>
      <c r="B235" t="s">
        <v>3437</v>
      </c>
      <c r="C235" t="s">
        <v>3438</v>
      </c>
      <c r="D235" t="s">
        <v>3463</v>
      </c>
      <c r="E235" t="s">
        <v>3464</v>
      </c>
      <c r="F235" t="s">
        <v>2830</v>
      </c>
      <c r="G235" t="s">
        <v>3465</v>
      </c>
    </row>
    <row r="236" spans="1:7" ht="11.25" customHeight="1">
      <c r="A236" t="s">
        <v>16</v>
      </c>
      <c r="B236" t="s">
        <v>3437</v>
      </c>
      <c r="C236" t="s">
        <v>3438</v>
      </c>
      <c r="D236" t="s">
        <v>3466</v>
      </c>
      <c r="E236" t="s">
        <v>3467</v>
      </c>
      <c r="F236" t="s">
        <v>2830</v>
      </c>
      <c r="G236" t="s">
        <v>3468</v>
      </c>
    </row>
    <row r="237" spans="1:7" ht="11.25" customHeight="1">
      <c r="A237" t="s">
        <v>16</v>
      </c>
      <c r="B237" t="s">
        <v>3437</v>
      </c>
      <c r="C237" t="s">
        <v>3438</v>
      </c>
      <c r="D237" t="s">
        <v>3437</v>
      </c>
      <c r="E237" t="s">
        <v>3438</v>
      </c>
      <c r="F237" t="s">
        <v>2827</v>
      </c>
      <c r="G237" t="s">
        <v>3469</v>
      </c>
    </row>
    <row r="238" spans="1:7" ht="11.25" customHeight="1">
      <c r="A238" t="s">
        <v>16</v>
      </c>
      <c r="B238" t="s">
        <v>3437</v>
      </c>
      <c r="C238" t="s">
        <v>3438</v>
      </c>
      <c r="D238" t="s">
        <v>3470</v>
      </c>
      <c r="E238" t="s">
        <v>3471</v>
      </c>
      <c r="F238" t="s">
        <v>2830</v>
      </c>
      <c r="G238" t="s">
        <v>3472</v>
      </c>
    </row>
    <row r="239" spans="1:7" ht="11.25" customHeight="1">
      <c r="A239" t="s">
        <v>16</v>
      </c>
      <c r="B239" t="s">
        <v>3437</v>
      </c>
      <c r="C239" t="s">
        <v>3438</v>
      </c>
      <c r="D239" t="s">
        <v>3473</v>
      </c>
      <c r="E239" t="s">
        <v>3474</v>
      </c>
      <c r="F239" t="s">
        <v>2830</v>
      </c>
      <c r="G239" t="s">
        <v>3475</v>
      </c>
    </row>
    <row r="240" spans="1:7" ht="11.25" customHeight="1">
      <c r="A240" t="s">
        <v>16</v>
      </c>
      <c r="B240" t="s">
        <v>3437</v>
      </c>
      <c r="C240" t="s">
        <v>3438</v>
      </c>
      <c r="D240" t="s">
        <v>3476</v>
      </c>
      <c r="E240" t="s">
        <v>3477</v>
      </c>
      <c r="F240" t="s">
        <v>2830</v>
      </c>
      <c r="G240" t="s">
        <v>3478</v>
      </c>
    </row>
    <row r="241" spans="1:7" ht="11.25" customHeight="1">
      <c r="A241" t="s">
        <v>16</v>
      </c>
      <c r="B241" t="s">
        <v>3479</v>
      </c>
      <c r="C241" t="s">
        <v>3480</v>
      </c>
      <c r="D241" t="s">
        <v>3481</v>
      </c>
      <c r="E241" t="s">
        <v>3482</v>
      </c>
      <c r="F241" t="s">
        <v>2830</v>
      </c>
      <c r="G241" t="s">
        <v>3483</v>
      </c>
    </row>
    <row r="242" spans="1:7" ht="11.25" customHeight="1">
      <c r="A242" t="s">
        <v>16</v>
      </c>
      <c r="B242" t="s">
        <v>3479</v>
      </c>
      <c r="C242" t="s">
        <v>3480</v>
      </c>
      <c r="D242" t="s">
        <v>3484</v>
      </c>
      <c r="E242" t="s">
        <v>3485</v>
      </c>
      <c r="F242" t="s">
        <v>2830</v>
      </c>
      <c r="G242" t="s">
        <v>3486</v>
      </c>
    </row>
    <row r="243" spans="1:7" ht="11.25" customHeight="1">
      <c r="A243" t="s">
        <v>16</v>
      </c>
      <c r="B243" t="s">
        <v>3479</v>
      </c>
      <c r="C243" t="s">
        <v>3480</v>
      </c>
      <c r="D243" t="s">
        <v>3487</v>
      </c>
      <c r="E243" t="s">
        <v>3488</v>
      </c>
      <c r="F243" t="s">
        <v>2830</v>
      </c>
      <c r="G243" t="s">
        <v>3489</v>
      </c>
    </row>
    <row r="244" spans="1:7" ht="11.25" customHeight="1">
      <c r="A244" t="s">
        <v>16</v>
      </c>
      <c r="B244" t="s">
        <v>3479</v>
      </c>
      <c r="C244" t="s">
        <v>3480</v>
      </c>
      <c r="D244" t="s">
        <v>3490</v>
      </c>
      <c r="E244" t="s">
        <v>3491</v>
      </c>
      <c r="F244" t="s">
        <v>2830</v>
      </c>
      <c r="G244" t="s">
        <v>3492</v>
      </c>
    </row>
    <row r="245" spans="1:7" ht="11.25" customHeight="1">
      <c r="A245" t="s">
        <v>16</v>
      </c>
      <c r="B245" t="s">
        <v>3479</v>
      </c>
      <c r="C245" t="s">
        <v>3480</v>
      </c>
      <c r="D245" t="s">
        <v>3493</v>
      </c>
      <c r="E245" t="s">
        <v>3494</v>
      </c>
      <c r="F245" t="s">
        <v>2830</v>
      </c>
      <c r="G245" t="s">
        <v>3495</v>
      </c>
    </row>
    <row r="246" spans="1:7" ht="11.25" customHeight="1">
      <c r="A246" t="s">
        <v>16</v>
      </c>
      <c r="B246" t="s">
        <v>3479</v>
      </c>
      <c r="C246" t="s">
        <v>3480</v>
      </c>
      <c r="D246" t="s">
        <v>3496</v>
      </c>
      <c r="E246" t="s">
        <v>3497</v>
      </c>
      <c r="F246" t="s">
        <v>2830</v>
      </c>
      <c r="G246" t="s">
        <v>3498</v>
      </c>
    </row>
    <row r="247" spans="1:7" ht="11.25" customHeight="1">
      <c r="A247" t="s">
        <v>16</v>
      </c>
      <c r="B247" t="s">
        <v>3479</v>
      </c>
      <c r="C247" t="s">
        <v>3480</v>
      </c>
      <c r="D247" t="s">
        <v>3499</v>
      </c>
      <c r="E247" t="s">
        <v>3500</v>
      </c>
      <c r="F247" t="s">
        <v>2830</v>
      </c>
      <c r="G247" t="s">
        <v>3501</v>
      </c>
    </row>
    <row r="248" spans="1:7" ht="11.25" customHeight="1">
      <c r="A248" t="s">
        <v>16</v>
      </c>
      <c r="B248" t="s">
        <v>3479</v>
      </c>
      <c r="C248" t="s">
        <v>3480</v>
      </c>
      <c r="D248" t="s">
        <v>3502</v>
      </c>
      <c r="E248" t="s">
        <v>3503</v>
      </c>
      <c r="F248" t="s">
        <v>2830</v>
      </c>
      <c r="G248" t="s">
        <v>3504</v>
      </c>
    </row>
    <row r="249" spans="1:7" ht="11.25" customHeight="1">
      <c r="A249" t="s">
        <v>16</v>
      </c>
      <c r="B249" t="s">
        <v>3479</v>
      </c>
      <c r="C249" t="s">
        <v>3480</v>
      </c>
      <c r="D249" t="s">
        <v>3505</v>
      </c>
      <c r="E249" t="s">
        <v>3506</v>
      </c>
      <c r="F249" t="s">
        <v>2830</v>
      </c>
      <c r="G249" t="s">
        <v>3507</v>
      </c>
    </row>
    <row r="250" spans="1:7" ht="11.25" customHeight="1">
      <c r="A250" t="s">
        <v>16</v>
      </c>
      <c r="B250" t="s">
        <v>3479</v>
      </c>
      <c r="C250" t="s">
        <v>3480</v>
      </c>
      <c r="D250" t="s">
        <v>3508</v>
      </c>
      <c r="E250" t="s">
        <v>3509</v>
      </c>
      <c r="F250" t="s">
        <v>2830</v>
      </c>
      <c r="G250" t="s">
        <v>3510</v>
      </c>
    </row>
    <row r="251" spans="1:7" ht="11.25" customHeight="1">
      <c r="A251" t="s">
        <v>16</v>
      </c>
      <c r="B251" t="s">
        <v>3479</v>
      </c>
      <c r="C251" t="s">
        <v>3480</v>
      </c>
      <c r="D251" t="s">
        <v>3511</v>
      </c>
      <c r="E251" t="s">
        <v>3512</v>
      </c>
      <c r="F251" t="s">
        <v>2830</v>
      </c>
      <c r="G251" t="s">
        <v>3513</v>
      </c>
    </row>
    <row r="252" spans="1:7" ht="11.25" customHeight="1">
      <c r="A252" t="s">
        <v>16</v>
      </c>
      <c r="B252" t="s">
        <v>3479</v>
      </c>
      <c r="C252" t="s">
        <v>3480</v>
      </c>
      <c r="D252" t="s">
        <v>3514</v>
      </c>
      <c r="E252" t="s">
        <v>3515</v>
      </c>
      <c r="F252" t="s">
        <v>2830</v>
      </c>
      <c r="G252" t="s">
        <v>3516</v>
      </c>
    </row>
    <row r="253" spans="1:7" ht="11.25" customHeight="1">
      <c r="A253" t="s">
        <v>16</v>
      </c>
      <c r="B253" t="s">
        <v>3479</v>
      </c>
      <c r="C253" t="s">
        <v>3480</v>
      </c>
      <c r="D253" t="s">
        <v>3479</v>
      </c>
      <c r="E253" t="s">
        <v>3480</v>
      </c>
      <c r="F253" t="s">
        <v>2827</v>
      </c>
      <c r="G253" t="s">
        <v>3517</v>
      </c>
    </row>
    <row r="254" spans="1:7" ht="11.25" customHeight="1">
      <c r="A254" t="s">
        <v>16</v>
      </c>
      <c r="B254" t="s">
        <v>3479</v>
      </c>
      <c r="C254" t="s">
        <v>3480</v>
      </c>
      <c r="D254" t="s">
        <v>3518</v>
      </c>
      <c r="E254" t="s">
        <v>3519</v>
      </c>
      <c r="F254" t="s">
        <v>2830</v>
      </c>
      <c r="G254" t="s">
        <v>3520</v>
      </c>
    </row>
    <row r="255" spans="1:7" ht="11.25" customHeight="1">
      <c r="A255" t="s">
        <v>16</v>
      </c>
      <c r="B255" t="s">
        <v>3479</v>
      </c>
      <c r="C255" t="s">
        <v>3480</v>
      </c>
      <c r="D255" t="s">
        <v>3521</v>
      </c>
      <c r="E255" t="s">
        <v>3522</v>
      </c>
      <c r="F255" t="s">
        <v>2830</v>
      </c>
      <c r="G255" t="s">
        <v>3523</v>
      </c>
    </row>
    <row r="256" spans="1:7" ht="11.25" customHeight="1">
      <c r="A256" t="s">
        <v>16</v>
      </c>
      <c r="B256" t="s">
        <v>3524</v>
      </c>
      <c r="C256" t="s">
        <v>3525</v>
      </c>
      <c r="D256" t="s">
        <v>3526</v>
      </c>
      <c r="E256" t="s">
        <v>3527</v>
      </c>
      <c r="F256" t="s">
        <v>2830</v>
      </c>
      <c r="G256" t="s">
        <v>3528</v>
      </c>
    </row>
    <row r="257" spans="1:7" ht="11.25" customHeight="1">
      <c r="A257" t="s">
        <v>16</v>
      </c>
      <c r="B257" t="s">
        <v>3524</v>
      </c>
      <c r="C257" t="s">
        <v>3525</v>
      </c>
      <c r="D257" t="s">
        <v>3529</v>
      </c>
      <c r="E257" t="s">
        <v>3530</v>
      </c>
      <c r="F257" t="s">
        <v>2830</v>
      </c>
      <c r="G257" t="s">
        <v>3531</v>
      </c>
    </row>
    <row r="258" spans="1:7" ht="11.25" customHeight="1">
      <c r="A258" t="s">
        <v>16</v>
      </c>
      <c r="B258" t="s">
        <v>3524</v>
      </c>
      <c r="C258" t="s">
        <v>3525</v>
      </c>
      <c r="D258" t="s">
        <v>3532</v>
      </c>
      <c r="E258" t="s">
        <v>3533</v>
      </c>
      <c r="F258" t="s">
        <v>2830</v>
      </c>
      <c r="G258" t="s">
        <v>3534</v>
      </c>
    </row>
    <row r="259" spans="1:7" ht="11.25" customHeight="1">
      <c r="A259" t="s">
        <v>16</v>
      </c>
      <c r="B259" t="s">
        <v>3524</v>
      </c>
      <c r="C259" t="s">
        <v>3525</v>
      </c>
      <c r="D259" t="s">
        <v>3535</v>
      </c>
      <c r="E259" t="s">
        <v>3536</v>
      </c>
      <c r="F259" t="s">
        <v>2830</v>
      </c>
      <c r="G259" t="s">
        <v>3537</v>
      </c>
    </row>
    <row r="260" spans="1:7" ht="11.25" customHeight="1">
      <c r="A260" t="s">
        <v>16</v>
      </c>
      <c r="B260" t="s">
        <v>3524</v>
      </c>
      <c r="C260" t="s">
        <v>3525</v>
      </c>
      <c r="D260" t="s">
        <v>3538</v>
      </c>
      <c r="E260" t="s">
        <v>3539</v>
      </c>
      <c r="F260" t="s">
        <v>2830</v>
      </c>
      <c r="G260" t="s">
        <v>3540</v>
      </c>
    </row>
    <row r="261" spans="1:7" ht="11.25" customHeight="1">
      <c r="A261" t="s">
        <v>16</v>
      </c>
      <c r="B261" t="s">
        <v>3524</v>
      </c>
      <c r="C261" t="s">
        <v>3525</v>
      </c>
      <c r="D261" t="s">
        <v>3541</v>
      </c>
      <c r="E261" t="s">
        <v>3542</v>
      </c>
      <c r="F261" t="s">
        <v>2830</v>
      </c>
      <c r="G261" t="s">
        <v>3543</v>
      </c>
    </row>
    <row r="262" spans="1:7" ht="11.25" customHeight="1">
      <c r="A262" t="s">
        <v>16</v>
      </c>
      <c r="B262" t="s">
        <v>3524</v>
      </c>
      <c r="C262" t="s">
        <v>3525</v>
      </c>
      <c r="D262" t="s">
        <v>3544</v>
      </c>
      <c r="E262" t="s">
        <v>3545</v>
      </c>
      <c r="F262" t="s">
        <v>2830</v>
      </c>
      <c r="G262" t="s">
        <v>3546</v>
      </c>
    </row>
    <row r="263" spans="1:7" ht="11.25" customHeight="1">
      <c r="A263" t="s">
        <v>16</v>
      </c>
      <c r="B263" t="s">
        <v>3524</v>
      </c>
      <c r="C263" t="s">
        <v>3525</v>
      </c>
      <c r="D263" t="s">
        <v>3547</v>
      </c>
      <c r="E263" t="s">
        <v>3548</v>
      </c>
      <c r="F263" t="s">
        <v>2830</v>
      </c>
      <c r="G263" t="s">
        <v>3549</v>
      </c>
    </row>
    <row r="264" spans="1:7" ht="11.25" customHeight="1">
      <c r="A264" t="s">
        <v>16</v>
      </c>
      <c r="B264" t="s">
        <v>3524</v>
      </c>
      <c r="C264" t="s">
        <v>3525</v>
      </c>
      <c r="D264" t="s">
        <v>3550</v>
      </c>
      <c r="E264" t="s">
        <v>3551</v>
      </c>
      <c r="F264" t="s">
        <v>2830</v>
      </c>
      <c r="G264" t="s">
        <v>3552</v>
      </c>
    </row>
    <row r="265" spans="1:7" ht="11.25" customHeight="1">
      <c r="A265" t="s">
        <v>16</v>
      </c>
      <c r="B265" t="s">
        <v>3524</v>
      </c>
      <c r="C265" t="s">
        <v>3525</v>
      </c>
      <c r="D265" t="s">
        <v>3524</v>
      </c>
      <c r="E265" t="s">
        <v>3525</v>
      </c>
      <c r="F265" t="s">
        <v>2827</v>
      </c>
      <c r="G265" t="s">
        <v>3553</v>
      </c>
    </row>
    <row r="266" spans="1:7" ht="11.25" customHeight="1">
      <c r="A266" t="s">
        <v>16</v>
      </c>
      <c r="B266" t="s">
        <v>3524</v>
      </c>
      <c r="C266" t="s">
        <v>3525</v>
      </c>
      <c r="D266" t="s">
        <v>3554</v>
      </c>
      <c r="E266" t="s">
        <v>3555</v>
      </c>
      <c r="F266" t="s">
        <v>2830</v>
      </c>
      <c r="G266" t="s">
        <v>3556</v>
      </c>
    </row>
    <row r="267" spans="1:7" ht="11.25" customHeight="1">
      <c r="A267" t="s">
        <v>16</v>
      </c>
      <c r="B267" t="s">
        <v>3557</v>
      </c>
      <c r="C267" t="s">
        <v>3558</v>
      </c>
      <c r="D267" t="s">
        <v>3559</v>
      </c>
      <c r="E267" t="s">
        <v>3560</v>
      </c>
      <c r="F267" t="s">
        <v>2830</v>
      </c>
      <c r="G267" t="s">
        <v>3561</v>
      </c>
    </row>
    <row r="268" spans="1:7" ht="11.25" customHeight="1">
      <c r="A268" t="s">
        <v>16</v>
      </c>
      <c r="B268" t="s">
        <v>3557</v>
      </c>
      <c r="C268" t="s">
        <v>3558</v>
      </c>
      <c r="D268" t="s">
        <v>3562</v>
      </c>
      <c r="E268" t="s">
        <v>3563</v>
      </c>
      <c r="F268" t="s">
        <v>2830</v>
      </c>
      <c r="G268" t="s">
        <v>3564</v>
      </c>
    </row>
    <row r="269" spans="1:7" ht="11.25" customHeight="1">
      <c r="A269" t="s">
        <v>16</v>
      </c>
      <c r="B269" t="s">
        <v>3557</v>
      </c>
      <c r="C269" t="s">
        <v>3558</v>
      </c>
      <c r="D269" t="s">
        <v>3565</v>
      </c>
      <c r="E269" t="s">
        <v>3566</v>
      </c>
      <c r="F269" t="s">
        <v>2830</v>
      </c>
      <c r="G269" t="s">
        <v>3567</v>
      </c>
    </row>
    <row r="270" spans="1:7" ht="11.25" customHeight="1">
      <c r="A270" t="s">
        <v>16</v>
      </c>
      <c r="B270" t="s">
        <v>3557</v>
      </c>
      <c r="C270" t="s">
        <v>3558</v>
      </c>
      <c r="D270" t="s">
        <v>3568</v>
      </c>
      <c r="E270" t="s">
        <v>3569</v>
      </c>
      <c r="F270" t="s">
        <v>2830</v>
      </c>
      <c r="G270" t="s">
        <v>3570</v>
      </c>
    </row>
    <row r="271" spans="1:7" ht="11.25" customHeight="1">
      <c r="A271" t="s">
        <v>16</v>
      </c>
      <c r="B271" t="s">
        <v>3557</v>
      </c>
      <c r="C271" t="s">
        <v>3558</v>
      </c>
      <c r="D271" t="s">
        <v>2855</v>
      </c>
      <c r="E271" t="s">
        <v>3571</v>
      </c>
      <c r="F271" t="s">
        <v>2830</v>
      </c>
      <c r="G271" t="s">
        <v>3572</v>
      </c>
    </row>
    <row r="272" spans="1:7" ht="11.25" customHeight="1">
      <c r="A272" t="s">
        <v>16</v>
      </c>
      <c r="B272" t="s">
        <v>3557</v>
      </c>
      <c r="C272" t="s">
        <v>3558</v>
      </c>
      <c r="D272" t="s">
        <v>3573</v>
      </c>
      <c r="E272" t="s">
        <v>3574</v>
      </c>
      <c r="F272" t="s">
        <v>2830</v>
      </c>
      <c r="G272" t="s">
        <v>3575</v>
      </c>
    </row>
    <row r="273" spans="1:7" ht="11.25" customHeight="1">
      <c r="A273" t="s">
        <v>16</v>
      </c>
      <c r="B273" t="s">
        <v>3557</v>
      </c>
      <c r="C273" t="s">
        <v>3558</v>
      </c>
      <c r="D273" t="s">
        <v>3576</v>
      </c>
      <c r="E273" t="s">
        <v>3577</v>
      </c>
      <c r="F273" t="s">
        <v>2830</v>
      </c>
      <c r="G273" t="s">
        <v>3578</v>
      </c>
    </row>
    <row r="274" spans="1:7" ht="11.25" customHeight="1">
      <c r="A274" t="s">
        <v>16</v>
      </c>
      <c r="B274" t="s">
        <v>3557</v>
      </c>
      <c r="C274" t="s">
        <v>3558</v>
      </c>
      <c r="D274" t="s">
        <v>3579</v>
      </c>
      <c r="E274" t="s">
        <v>3580</v>
      </c>
      <c r="F274" t="s">
        <v>2830</v>
      </c>
      <c r="G274" t="s">
        <v>3581</v>
      </c>
    </row>
    <row r="275" spans="1:7" ht="11.25" customHeight="1">
      <c r="A275" t="s">
        <v>16</v>
      </c>
      <c r="B275" t="s">
        <v>3557</v>
      </c>
      <c r="C275" t="s">
        <v>3558</v>
      </c>
      <c r="D275" t="s">
        <v>3582</v>
      </c>
      <c r="E275" t="s">
        <v>3583</v>
      </c>
      <c r="F275" t="s">
        <v>2830</v>
      </c>
      <c r="G275" t="s">
        <v>3584</v>
      </c>
    </row>
    <row r="276" spans="1:7" ht="11.25" customHeight="1">
      <c r="A276" t="s">
        <v>16</v>
      </c>
      <c r="B276" t="s">
        <v>3557</v>
      </c>
      <c r="C276" t="s">
        <v>3558</v>
      </c>
      <c r="D276" t="s">
        <v>3585</v>
      </c>
      <c r="E276" t="s">
        <v>3586</v>
      </c>
      <c r="F276" t="s">
        <v>2830</v>
      </c>
      <c r="G276" t="s">
        <v>3587</v>
      </c>
    </row>
    <row r="277" spans="1:7" ht="11.25" customHeight="1">
      <c r="A277" t="s">
        <v>16</v>
      </c>
      <c r="B277" t="s">
        <v>3557</v>
      </c>
      <c r="C277" t="s">
        <v>3558</v>
      </c>
      <c r="D277" t="s">
        <v>3588</v>
      </c>
      <c r="E277" t="s">
        <v>3589</v>
      </c>
      <c r="F277" t="s">
        <v>2830</v>
      </c>
      <c r="G277" t="s">
        <v>3590</v>
      </c>
    </row>
    <row r="278" spans="1:7" ht="11.25" customHeight="1">
      <c r="A278" t="s">
        <v>16</v>
      </c>
      <c r="B278" t="s">
        <v>3557</v>
      </c>
      <c r="C278" t="s">
        <v>3558</v>
      </c>
      <c r="D278" t="s">
        <v>3591</v>
      </c>
      <c r="E278" t="s">
        <v>3592</v>
      </c>
      <c r="F278" t="s">
        <v>2830</v>
      </c>
      <c r="G278" t="s">
        <v>3593</v>
      </c>
    </row>
    <row r="279" spans="1:7" ht="11.25" customHeight="1">
      <c r="A279" t="s">
        <v>16</v>
      </c>
      <c r="B279" t="s">
        <v>3557</v>
      </c>
      <c r="C279" t="s">
        <v>3558</v>
      </c>
      <c r="D279" t="s">
        <v>3594</v>
      </c>
      <c r="E279" t="s">
        <v>3595</v>
      </c>
      <c r="F279" t="s">
        <v>2830</v>
      </c>
      <c r="G279" t="s">
        <v>3596</v>
      </c>
    </row>
    <row r="280" spans="1:7" ht="11.25" customHeight="1">
      <c r="A280" t="s">
        <v>16</v>
      </c>
      <c r="B280" t="s">
        <v>3557</v>
      </c>
      <c r="C280" t="s">
        <v>3558</v>
      </c>
      <c r="D280" t="s">
        <v>3597</v>
      </c>
      <c r="E280" t="s">
        <v>3598</v>
      </c>
      <c r="F280" t="s">
        <v>2830</v>
      </c>
      <c r="G280" t="s">
        <v>3599</v>
      </c>
    </row>
    <row r="281" spans="1:7" ht="11.25" customHeight="1">
      <c r="A281" t="s">
        <v>16</v>
      </c>
      <c r="B281" t="s">
        <v>3557</v>
      </c>
      <c r="C281" t="s">
        <v>3558</v>
      </c>
      <c r="D281" t="s">
        <v>3600</v>
      </c>
      <c r="E281" t="s">
        <v>3601</v>
      </c>
      <c r="F281" t="s">
        <v>2830</v>
      </c>
      <c r="G281" t="s">
        <v>3602</v>
      </c>
    </row>
    <row r="282" spans="1:7" ht="11.25" customHeight="1">
      <c r="A282" t="s">
        <v>16</v>
      </c>
      <c r="B282" t="s">
        <v>3557</v>
      </c>
      <c r="C282" t="s">
        <v>3558</v>
      </c>
      <c r="D282" t="s">
        <v>3557</v>
      </c>
      <c r="E282" t="s">
        <v>3558</v>
      </c>
      <c r="F282" t="s">
        <v>2827</v>
      </c>
      <c r="G282" t="s">
        <v>3603</v>
      </c>
    </row>
    <row r="283" spans="1:7" ht="11.25" customHeight="1">
      <c r="A283" t="s">
        <v>16</v>
      </c>
      <c r="B283" t="s">
        <v>3604</v>
      </c>
      <c r="C283" t="s">
        <v>3605</v>
      </c>
      <c r="D283" t="s">
        <v>3606</v>
      </c>
      <c r="E283" t="s">
        <v>3607</v>
      </c>
      <c r="F283" t="s">
        <v>2830</v>
      </c>
      <c r="G283" t="s">
        <v>3608</v>
      </c>
    </row>
    <row r="284" spans="1:7" ht="11.25" customHeight="1">
      <c r="A284" t="s">
        <v>16</v>
      </c>
      <c r="B284" t="s">
        <v>3604</v>
      </c>
      <c r="C284" t="s">
        <v>3605</v>
      </c>
      <c r="D284" t="s">
        <v>3609</v>
      </c>
      <c r="E284" t="s">
        <v>3610</v>
      </c>
      <c r="F284" t="s">
        <v>2830</v>
      </c>
      <c r="G284" t="s">
        <v>3611</v>
      </c>
    </row>
    <row r="285" spans="1:7" ht="11.25" customHeight="1">
      <c r="A285" t="s">
        <v>16</v>
      </c>
      <c r="B285" t="s">
        <v>3604</v>
      </c>
      <c r="C285" t="s">
        <v>3605</v>
      </c>
      <c r="D285" t="s">
        <v>2923</v>
      </c>
      <c r="E285" t="s">
        <v>3612</v>
      </c>
      <c r="F285" t="s">
        <v>2830</v>
      </c>
      <c r="G285" t="s">
        <v>3613</v>
      </c>
    </row>
    <row r="286" spans="1:7" ht="11.25" customHeight="1">
      <c r="A286" t="s">
        <v>16</v>
      </c>
      <c r="B286" t="s">
        <v>3604</v>
      </c>
      <c r="C286" t="s">
        <v>3605</v>
      </c>
      <c r="D286" t="s">
        <v>3614</v>
      </c>
      <c r="E286" t="s">
        <v>3615</v>
      </c>
      <c r="F286" t="s">
        <v>2830</v>
      </c>
      <c r="G286" t="s">
        <v>3616</v>
      </c>
    </row>
    <row r="287" spans="1:7" ht="11.25" customHeight="1">
      <c r="A287" t="s">
        <v>16</v>
      </c>
      <c r="B287" t="s">
        <v>3604</v>
      </c>
      <c r="C287" t="s">
        <v>3605</v>
      </c>
      <c r="D287" t="s">
        <v>3617</v>
      </c>
      <c r="E287" t="s">
        <v>3618</v>
      </c>
      <c r="F287" t="s">
        <v>2830</v>
      </c>
      <c r="G287" t="s">
        <v>3619</v>
      </c>
    </row>
    <row r="288" spans="1:7" ht="11.25" customHeight="1">
      <c r="A288" t="s">
        <v>16</v>
      </c>
      <c r="B288" t="s">
        <v>3604</v>
      </c>
      <c r="C288" t="s">
        <v>3605</v>
      </c>
      <c r="D288" t="s">
        <v>3620</v>
      </c>
      <c r="E288" t="s">
        <v>3621</v>
      </c>
      <c r="F288" t="s">
        <v>2830</v>
      </c>
      <c r="G288" t="s">
        <v>3622</v>
      </c>
    </row>
    <row r="289" spans="1:7" ht="11.25" customHeight="1">
      <c r="A289" t="s">
        <v>16</v>
      </c>
      <c r="B289" t="s">
        <v>3604</v>
      </c>
      <c r="C289" t="s">
        <v>3605</v>
      </c>
      <c r="D289" t="s">
        <v>3623</v>
      </c>
      <c r="E289" t="s">
        <v>3624</v>
      </c>
      <c r="F289" t="s">
        <v>2830</v>
      </c>
      <c r="G289" t="s">
        <v>3625</v>
      </c>
    </row>
    <row r="290" spans="1:7" ht="11.25" customHeight="1">
      <c r="A290" t="s">
        <v>16</v>
      </c>
      <c r="B290" t="s">
        <v>3604</v>
      </c>
      <c r="C290" t="s">
        <v>3605</v>
      </c>
      <c r="D290" t="s">
        <v>3626</v>
      </c>
      <c r="E290" t="s">
        <v>3627</v>
      </c>
      <c r="F290" t="s">
        <v>2830</v>
      </c>
      <c r="G290" t="s">
        <v>3628</v>
      </c>
    </row>
    <row r="291" spans="1:7" ht="11.25" customHeight="1">
      <c r="A291" t="s">
        <v>16</v>
      </c>
      <c r="B291" t="s">
        <v>3604</v>
      </c>
      <c r="C291" t="s">
        <v>3605</v>
      </c>
      <c r="D291" t="s">
        <v>3299</v>
      </c>
      <c r="E291" t="s">
        <v>3629</v>
      </c>
      <c r="F291" t="s">
        <v>2830</v>
      </c>
      <c r="G291" t="s">
        <v>3630</v>
      </c>
    </row>
    <row r="292" spans="1:7" ht="11.25" customHeight="1">
      <c r="A292" t="s">
        <v>16</v>
      </c>
      <c r="B292" t="s">
        <v>3604</v>
      </c>
      <c r="C292" t="s">
        <v>3605</v>
      </c>
      <c r="D292" t="s">
        <v>3303</v>
      </c>
      <c r="E292" t="s">
        <v>3631</v>
      </c>
      <c r="F292" t="s">
        <v>2830</v>
      </c>
      <c r="G292" t="s">
        <v>3632</v>
      </c>
    </row>
    <row r="293" spans="1:7" ht="11.25" customHeight="1">
      <c r="A293" t="s">
        <v>16</v>
      </c>
      <c r="B293" t="s">
        <v>3604</v>
      </c>
      <c r="C293" t="s">
        <v>3605</v>
      </c>
      <c r="D293" t="s">
        <v>3633</v>
      </c>
      <c r="E293" t="s">
        <v>3634</v>
      </c>
      <c r="F293" t="s">
        <v>2830</v>
      </c>
      <c r="G293" t="s">
        <v>3635</v>
      </c>
    </row>
    <row r="294" spans="1:7" ht="11.25" customHeight="1">
      <c r="A294" t="s">
        <v>16</v>
      </c>
      <c r="B294" t="s">
        <v>3604</v>
      </c>
      <c r="C294" t="s">
        <v>3605</v>
      </c>
      <c r="D294" t="s">
        <v>3636</v>
      </c>
      <c r="E294" t="s">
        <v>3637</v>
      </c>
      <c r="F294" t="s">
        <v>2830</v>
      </c>
      <c r="G294" t="s">
        <v>3638</v>
      </c>
    </row>
    <row r="295" spans="1:7" ht="11.25" customHeight="1">
      <c r="A295" t="s">
        <v>16</v>
      </c>
      <c r="B295" t="s">
        <v>3604</v>
      </c>
      <c r="C295" t="s">
        <v>3605</v>
      </c>
      <c r="D295" t="s">
        <v>3639</v>
      </c>
      <c r="E295" t="s">
        <v>3640</v>
      </c>
      <c r="F295" t="s">
        <v>2830</v>
      </c>
      <c r="G295" t="s">
        <v>3641</v>
      </c>
    </row>
    <row r="296" spans="1:7" ht="11.25" customHeight="1">
      <c r="A296" t="s">
        <v>16</v>
      </c>
      <c r="B296" t="s">
        <v>3604</v>
      </c>
      <c r="C296" t="s">
        <v>3605</v>
      </c>
      <c r="D296" t="s">
        <v>3604</v>
      </c>
      <c r="E296" t="s">
        <v>3605</v>
      </c>
      <c r="F296" t="s">
        <v>2827</v>
      </c>
      <c r="G296" t="s">
        <v>3642</v>
      </c>
    </row>
    <row r="297" spans="1:7" ht="11.25" customHeight="1">
      <c r="A297" t="s">
        <v>16</v>
      </c>
      <c r="B297" t="s">
        <v>3604</v>
      </c>
      <c r="C297" t="s">
        <v>3605</v>
      </c>
      <c r="D297" t="s">
        <v>3643</v>
      </c>
      <c r="E297" t="s">
        <v>3644</v>
      </c>
      <c r="F297" t="s">
        <v>2830</v>
      </c>
      <c r="G297" t="s">
        <v>3645</v>
      </c>
    </row>
    <row r="298" spans="1:7" ht="11.25" customHeight="1">
      <c r="A298" t="s">
        <v>16</v>
      </c>
      <c r="B298" t="s">
        <v>3646</v>
      </c>
      <c r="C298" t="s">
        <v>3647</v>
      </c>
      <c r="D298" t="s">
        <v>3646</v>
      </c>
      <c r="E298" t="s">
        <v>3647</v>
      </c>
      <c r="F298" t="s">
        <v>3005</v>
      </c>
      <c r="G298" t="s">
        <v>3648</v>
      </c>
    </row>
    <row r="299" spans="1:7" ht="11.25" customHeight="1">
      <c r="A299" t="s">
        <v>16</v>
      </c>
      <c r="B299" t="s">
        <v>3649</v>
      </c>
      <c r="C299" t="s">
        <v>3650</v>
      </c>
      <c r="D299" t="s">
        <v>3649</v>
      </c>
      <c r="E299" t="s">
        <v>3650</v>
      </c>
      <c r="F299" t="s">
        <v>3005</v>
      </c>
      <c r="G299" t="s">
        <v>3651</v>
      </c>
    </row>
    <row r="300" spans="1:7" ht="11.25" customHeight="1">
      <c r="A300" t="s">
        <v>16</v>
      </c>
      <c r="B300" t="s">
        <v>105</v>
      </c>
      <c r="C300" t="s">
        <v>106</v>
      </c>
      <c r="D300" t="s">
        <v>105</v>
      </c>
      <c r="E300" t="s">
        <v>106</v>
      </c>
      <c r="F300" t="s">
        <v>3005</v>
      </c>
      <c r="G300" t="s">
        <v>104</v>
      </c>
    </row>
    <row r="301" spans="1:7" ht="11.25" customHeight="1">
      <c r="A301" t="s">
        <v>16</v>
      </c>
      <c r="B301" t="s">
        <v>3652</v>
      </c>
      <c r="C301" t="s">
        <v>3653</v>
      </c>
      <c r="D301" t="s">
        <v>3652</v>
      </c>
      <c r="E301" t="s">
        <v>3653</v>
      </c>
      <c r="F301" t="s">
        <v>3005</v>
      </c>
      <c r="G301" t="s">
        <v>3654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C3"/>
  <sheetViews>
    <sheetView showGridLines="0" workbookViewId="0"/>
  </sheetViews>
  <sheetFormatPr defaultColWidth="9.140625" defaultRowHeight="11.25" customHeight="1"/>
  <cols>
    <col min="1" max="1" width="9.140625" style="1618"/>
    <col min="2" max="2" width="84.28515625" style="1618" customWidth="1"/>
    <col min="3" max="3" width="9.140625" style="1618"/>
  </cols>
  <sheetData>
    <row r="1" spans="1:3" ht="11.25" customHeight="1">
      <c r="A1" s="766" t="s">
        <v>3701</v>
      </c>
      <c r="B1" s="766" t="s">
        <v>3702</v>
      </c>
      <c r="C1" s="766" t="s">
        <v>1215</v>
      </c>
    </row>
    <row r="2" spans="1:3" ht="11.25" customHeight="1">
      <c r="A2" s="766">
        <v>4189678</v>
      </c>
      <c r="B2" s="766" t="s">
        <v>3703</v>
      </c>
      <c r="C2" s="766" t="s">
        <v>3704</v>
      </c>
    </row>
    <row r="3" spans="1:3" ht="11.25" customHeight="1">
      <c r="A3" s="766">
        <v>4190415</v>
      </c>
      <c r="B3" s="766" t="s">
        <v>3705</v>
      </c>
      <c r="C3" s="766" t="s">
        <v>3704</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E8"/>
  <sheetViews>
    <sheetView showGridLines="0" workbookViewId="0"/>
  </sheetViews>
  <sheetFormatPr defaultColWidth="9.140625" defaultRowHeight="15" customHeight="1"/>
  <cols>
    <col min="1" max="1" width="38.42578125" style="100" customWidth="1"/>
    <col min="2" max="5" width="9.140625" style="100"/>
  </cols>
  <sheetData>
    <row r="1" spans="1:5" ht="15" customHeight="1">
      <c r="A1" s="101" t="s">
        <v>3706</v>
      </c>
      <c r="B1" s="101" t="s">
        <v>3707</v>
      </c>
      <c r="C1" s="101"/>
      <c r="D1" s="101"/>
      <c r="E1" s="101"/>
    </row>
    <row r="2" spans="1:5" ht="15" customHeight="1">
      <c r="A2" s="101"/>
      <c r="B2" s="101"/>
      <c r="C2" s="101"/>
      <c r="D2" s="101"/>
      <c r="E2" s="101"/>
    </row>
    <row r="3" spans="1:5" ht="15" customHeight="1">
      <c r="A3" s="101"/>
      <c r="B3" s="101"/>
      <c r="C3" s="101"/>
      <c r="D3" s="101"/>
      <c r="E3" s="101"/>
    </row>
    <row r="4" spans="1:5" ht="15" customHeight="1">
      <c r="A4" s="101"/>
      <c r="B4" s="101"/>
      <c r="C4" s="101"/>
      <c r="D4" s="101"/>
      <c r="E4" s="101"/>
    </row>
    <row r="5" spans="1:5" ht="15" customHeight="1">
      <c r="A5" s="101"/>
      <c r="B5" s="101"/>
      <c r="C5" s="101"/>
      <c r="D5" s="101"/>
      <c r="E5" s="101"/>
    </row>
    <row r="6" spans="1:5" ht="15" customHeight="1">
      <c r="A6" s="101"/>
      <c r="B6" s="101"/>
      <c r="C6" s="101"/>
      <c r="D6" s="101"/>
      <c r="E6" s="101"/>
    </row>
    <row r="7" spans="1:5" ht="15" customHeight="1">
      <c r="A7" s="101"/>
      <c r="B7" s="101"/>
      <c r="C7" s="101"/>
      <c r="D7" s="101"/>
      <c r="E7" s="101"/>
    </row>
    <row r="8" spans="1:5" ht="15" customHeight="1">
      <c r="A8" s="101"/>
      <c r="B8" s="101"/>
      <c r="C8" s="101"/>
      <c r="D8" s="101"/>
      <c r="E8" s="101"/>
    </row>
  </sheetData>
  <sheetProtection formatColumns="0" formatRows="0"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15"/>
  <sheetViews>
    <sheetView workbookViewId="0"/>
  </sheetViews>
  <sheetFormatPr defaultRowHeight="11.25" customHeight="1"/>
  <sheetData>
    <row r="1" spans="1:2" ht="11.25" customHeight="1">
      <c r="A1" t="s">
        <v>3708</v>
      </c>
      <c r="B1" t="b">
        <v>1</v>
      </c>
    </row>
    <row r="2" spans="1:2" ht="11.25" customHeight="1">
      <c r="A2" t="s">
        <v>3709</v>
      </c>
      <c r="B2" t="b">
        <v>0</v>
      </c>
    </row>
    <row r="3" spans="1:2" ht="11.25" customHeight="1">
      <c r="A3" t="s">
        <v>3710</v>
      </c>
      <c r="B3" t="b">
        <v>1</v>
      </c>
    </row>
    <row r="4" spans="1:2" ht="11.25" customHeight="1">
      <c r="A4" t="s">
        <v>3711</v>
      </c>
      <c r="B4" t="b">
        <v>0</v>
      </c>
    </row>
    <row r="5" spans="1:2" ht="11.25" customHeight="1">
      <c r="A5" t="s">
        <v>3712</v>
      </c>
      <c r="B5" t="b">
        <v>0</v>
      </c>
    </row>
    <row r="6" spans="1:2" ht="11.25" customHeight="1">
      <c r="A6" t="s">
        <v>3713</v>
      </c>
      <c r="B6" t="b">
        <v>0</v>
      </c>
    </row>
    <row r="7" spans="1:2" ht="11.25" customHeight="1">
      <c r="A7" t="s">
        <v>3714</v>
      </c>
      <c r="B7" t="b">
        <v>0</v>
      </c>
    </row>
    <row r="8" spans="1:2" ht="11.25" customHeight="1">
      <c r="A8" t="s">
        <v>3715</v>
      </c>
      <c r="B8" t="b">
        <v>0</v>
      </c>
    </row>
    <row r="9" spans="1:2" ht="11.25" customHeight="1">
      <c r="A9" t="s">
        <v>3716</v>
      </c>
      <c r="B9" t="b">
        <v>0</v>
      </c>
    </row>
    <row r="10" spans="1:2" ht="11.25" customHeight="1">
      <c r="A10" t="s">
        <v>3717</v>
      </c>
      <c r="B10" t="b">
        <v>0</v>
      </c>
    </row>
    <row r="11" spans="1:2" ht="11.25" customHeight="1">
      <c r="A11" t="s">
        <v>3718</v>
      </c>
      <c r="B11" t="b">
        <v>0</v>
      </c>
    </row>
    <row r="12" spans="1:2" ht="11.25" customHeight="1">
      <c r="A12" t="s">
        <v>3719</v>
      </c>
      <c r="B12" t="b">
        <v>0</v>
      </c>
    </row>
    <row r="13" spans="1:2" ht="11.25" customHeight="1">
      <c r="A13" t="s">
        <v>3720</v>
      </c>
      <c r="B13" t="b">
        <v>0</v>
      </c>
    </row>
    <row r="14" spans="1:2" ht="11.25" customHeight="1">
      <c r="A14" t="s">
        <v>3721</v>
      </c>
      <c r="B14" t="b">
        <v>1</v>
      </c>
    </row>
    <row r="15" spans="1:2" ht="11.25" customHeight="1">
      <c r="A15" t="s">
        <v>3722</v>
      </c>
      <c r="B15" t="b">
        <v>1</v>
      </c>
    </row>
  </sheetData>
  <sheetProtection insertRows="0" deleteColumns="0" deleteRows="0" sort="0" autoFilter="0"/>
  <pageMargins left="0.7" right="0.7" top="0.75" bottom="0.75" header="0.3" footer="0.3"/>
  <pageSetup orientation="portrait"/>
  <headerFooter>
    <oddHeader>&amp;L&amp;C&amp;R</oddHeader>
    <oddFooter>&amp;L&amp;C&amp;R</oddFooter>
    <evenHeader>&amp;L&amp;C&amp;R</evenHeader>
    <evenFooter>&amp;L&amp;C&amp;R</evenFoot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
  <sheetViews>
    <sheetView showGridLines="0" workbookViewId="0"/>
  </sheetViews>
  <sheetFormatPr defaultColWidth="9.140625" defaultRowHeight="12.75" customHeight="1"/>
  <cols>
    <col min="1" max="1" width="9.140625" style="2027"/>
  </cols>
  <sheetData>
    <row r="1" spans="1:1" ht="12.75" customHeight="1">
      <c r="A1" s="3"/>
    </row>
  </sheetData>
  <sheetProtection insertRows="0" deleteColumns="0" deleteRows="0" sort="0" autoFilter="0"/>
  <pageMargins left="0.75" right="0.75" top="1" bottom="1" header="0.5" footer="0.5"/>
  <pageSetup orientation="portrait"/>
  <headerFooter>
    <oddHeader>&amp;L&amp;C&amp;R</oddHeader>
    <oddFooter>&amp;L&amp;C&amp;R</oddFooter>
    <evenHeader>&amp;L&amp;C&amp;R</evenHeader>
    <evenFooter>&amp;L&amp;C&amp;R</evenFooter>
  </headerFooter>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B253"/>
  <sheetViews>
    <sheetView showGridLines="0" workbookViewId="0"/>
  </sheetViews>
  <sheetFormatPr defaultColWidth="9.140625" defaultRowHeight="11.25" customHeight="1"/>
  <cols>
    <col min="1" max="1" width="36.28515625" style="1775" customWidth="1"/>
    <col min="2" max="2" width="21.140625" style="1775" customWidth="1"/>
  </cols>
  <sheetData>
    <row r="1" spans="1:2" ht="11.25" customHeight="1">
      <c r="A1" s="7" t="s">
        <v>3723</v>
      </c>
      <c r="B1" s="7" t="s">
        <v>3724</v>
      </c>
    </row>
    <row r="2" spans="1:2" ht="11.25" customHeight="1">
      <c r="A2" s="4" t="s">
        <v>3725</v>
      </c>
      <c r="B2" s="4" t="s">
        <v>3726</v>
      </c>
    </row>
    <row r="3" spans="1:2" ht="11.25" customHeight="1">
      <c r="A3" s="4" t="s">
        <v>3727</v>
      </c>
      <c r="B3" s="4" t="s">
        <v>3728</v>
      </c>
    </row>
    <row r="4" spans="1:2" ht="11.25" customHeight="1">
      <c r="A4" s="4" t="s">
        <v>3729</v>
      </c>
      <c r="B4" s="4" t="s">
        <v>3730</v>
      </c>
    </row>
    <row r="5" spans="1:2" ht="11.25" customHeight="1">
      <c r="A5" s="4" t="s">
        <v>3731</v>
      </c>
      <c r="B5" s="4" t="s">
        <v>3732</v>
      </c>
    </row>
    <row r="6" spans="1:2" ht="11.25" customHeight="1">
      <c r="A6" s="4" t="s">
        <v>3733</v>
      </c>
      <c r="B6" s="4" t="s">
        <v>3734</v>
      </c>
    </row>
    <row r="7" spans="1:2" ht="11.25" customHeight="1">
      <c r="A7" s="4" t="s">
        <v>3735</v>
      </c>
      <c r="B7" s="4" t="s">
        <v>3736</v>
      </c>
    </row>
    <row r="8" spans="1:2" ht="11.25" customHeight="1">
      <c r="A8" s="4" t="s">
        <v>3737</v>
      </c>
      <c r="B8" s="4" t="s">
        <v>3738</v>
      </c>
    </row>
    <row r="9" spans="1:2" ht="11.25" customHeight="1">
      <c r="A9" s="4" t="s">
        <v>3739</v>
      </c>
      <c r="B9" s="4" t="s">
        <v>3740</v>
      </c>
    </row>
    <row r="10" spans="1:2" ht="11.25" customHeight="1">
      <c r="A10" s="4" t="s">
        <v>3741</v>
      </c>
      <c r="B10" s="4" t="s">
        <v>3742</v>
      </c>
    </row>
    <row r="11" spans="1:2" ht="11.25" customHeight="1">
      <c r="A11" s="4" t="s">
        <v>3743</v>
      </c>
      <c r="B11" s="4" t="s">
        <v>3744</v>
      </c>
    </row>
    <row r="12" spans="1:2" ht="11.25" customHeight="1">
      <c r="A12" s="4" t="s">
        <v>3745</v>
      </c>
      <c r="B12" s="4" t="s">
        <v>3746</v>
      </c>
    </row>
    <row r="13" spans="1:2" ht="11.25" customHeight="1">
      <c r="A13" s="4" t="s">
        <v>3747</v>
      </c>
      <c r="B13" s="4" t="s">
        <v>3748</v>
      </c>
    </row>
    <row r="14" spans="1:2" ht="11.25" customHeight="1">
      <c r="A14" s="4" t="s">
        <v>3749</v>
      </c>
      <c r="B14" s="4" t="s">
        <v>3750</v>
      </c>
    </row>
    <row r="15" spans="1:2" ht="11.25" customHeight="1">
      <c r="A15" s="4" t="s">
        <v>3751</v>
      </c>
      <c r="B15" s="4" t="s">
        <v>3752</v>
      </c>
    </row>
    <row r="16" spans="1:2" ht="11.25" customHeight="1">
      <c r="A16" s="4" t="s">
        <v>3753</v>
      </c>
      <c r="B16" s="4" t="s">
        <v>3754</v>
      </c>
    </row>
    <row r="17" spans="1:2" ht="11.25" customHeight="1">
      <c r="A17" s="4" t="s">
        <v>3755</v>
      </c>
      <c r="B17" s="4" t="s">
        <v>3756</v>
      </c>
    </row>
    <row r="18" spans="1:2" ht="11.25" customHeight="1">
      <c r="A18" s="4" t="s">
        <v>3757</v>
      </c>
      <c r="B18" s="4" t="s">
        <v>3758</v>
      </c>
    </row>
    <row r="19" spans="1:2" ht="11.25" customHeight="1">
      <c r="A19" s="4" t="s">
        <v>3759</v>
      </c>
      <c r="B19" s="4" t="s">
        <v>3760</v>
      </c>
    </row>
    <row r="20" spans="1:2" ht="11.25" customHeight="1">
      <c r="A20" s="4" t="s">
        <v>3761</v>
      </c>
      <c r="B20" s="4" t="s">
        <v>3762</v>
      </c>
    </row>
    <row r="21" spans="1:2" ht="11.25" customHeight="1">
      <c r="A21" s="4" t="s">
        <v>3763</v>
      </c>
      <c r="B21" s="4" t="s">
        <v>3764</v>
      </c>
    </row>
    <row r="22" spans="1:2" ht="11.25" customHeight="1">
      <c r="A22" s="4" t="s">
        <v>3765</v>
      </c>
      <c r="B22" s="4" t="s">
        <v>3766</v>
      </c>
    </row>
    <row r="23" spans="1:2" ht="11.25" customHeight="1">
      <c r="A23" s="4" t="s">
        <v>3767</v>
      </c>
      <c r="B23" s="4" t="s">
        <v>3768</v>
      </c>
    </row>
    <row r="24" spans="1:2" ht="11.25" customHeight="1">
      <c r="A24" s="4" t="s">
        <v>3769</v>
      </c>
      <c r="B24" s="4" t="s">
        <v>3770</v>
      </c>
    </row>
    <row r="25" spans="1:2" ht="11.25" customHeight="1">
      <c r="A25" s="4" t="s">
        <v>3771</v>
      </c>
      <c r="B25" s="4" t="s">
        <v>3772</v>
      </c>
    </row>
    <row r="26" spans="1:2" ht="11.25" customHeight="1">
      <c r="A26" s="4" t="s">
        <v>3773</v>
      </c>
      <c r="B26" s="4" t="s">
        <v>3774</v>
      </c>
    </row>
    <row r="27" spans="1:2" ht="11.25" customHeight="1">
      <c r="A27" s="4" t="s">
        <v>3775</v>
      </c>
      <c r="B27" s="4" t="s">
        <v>3776</v>
      </c>
    </row>
    <row r="28" spans="1:2" ht="11.25" customHeight="1">
      <c r="A28" s="4" t="s">
        <v>3777</v>
      </c>
      <c r="B28" s="4" t="s">
        <v>3778</v>
      </c>
    </row>
    <row r="29" spans="1:2" ht="11.25" customHeight="1">
      <c r="A29" s="4" t="s">
        <v>3779</v>
      </c>
      <c r="B29" s="4" t="s">
        <v>3780</v>
      </c>
    </row>
    <row r="30" spans="1:2" ht="11.25" customHeight="1">
      <c r="A30" s="4" t="s">
        <v>3781</v>
      </c>
      <c r="B30" s="4" t="s">
        <v>3782</v>
      </c>
    </row>
    <row r="31" spans="1:2" ht="11.25" customHeight="1">
      <c r="A31" s="4" t="s">
        <v>3783</v>
      </c>
      <c r="B31" s="4" t="s">
        <v>3784</v>
      </c>
    </row>
    <row r="32" spans="1:2" ht="11.25" customHeight="1">
      <c r="A32" s="4" t="s">
        <v>3785</v>
      </c>
      <c r="B32" s="4" t="s">
        <v>3786</v>
      </c>
    </row>
    <row r="33" spans="1:2" ht="11.25" customHeight="1">
      <c r="A33" s="4" t="s">
        <v>3787</v>
      </c>
      <c r="B33" s="4" t="s">
        <v>3788</v>
      </c>
    </row>
    <row r="34" spans="1:2" ht="11.25" customHeight="1">
      <c r="A34" s="4" t="s">
        <v>3789</v>
      </c>
      <c r="B34" s="4" t="s">
        <v>3790</v>
      </c>
    </row>
    <row r="35" spans="1:2" ht="11.25" customHeight="1">
      <c r="A35" s="4" t="s">
        <v>3791</v>
      </c>
      <c r="B35" s="4" t="s">
        <v>3792</v>
      </c>
    </row>
    <row r="36" spans="1:2" ht="11.25" customHeight="1">
      <c r="A36" s="4" t="s">
        <v>3793</v>
      </c>
      <c r="B36" s="4" t="s">
        <v>3794</v>
      </c>
    </row>
    <row r="37" spans="1:2" ht="11.25" customHeight="1">
      <c r="A37" s="4" t="s">
        <v>3795</v>
      </c>
      <c r="B37" s="4" t="s">
        <v>3796</v>
      </c>
    </row>
    <row r="38" spans="1:2" ht="11.25" customHeight="1">
      <c r="A38" s="4" t="s">
        <v>3797</v>
      </c>
      <c r="B38" s="4" t="s">
        <v>3798</v>
      </c>
    </row>
    <row r="39" spans="1:2" ht="11.25" customHeight="1">
      <c r="A39" s="4" t="s">
        <v>3799</v>
      </c>
      <c r="B39" s="4" t="s">
        <v>3800</v>
      </c>
    </row>
    <row r="40" spans="1:2" ht="11.25" customHeight="1">
      <c r="A40" s="4" t="s">
        <v>3801</v>
      </c>
      <c r="B40" s="4" t="s">
        <v>3802</v>
      </c>
    </row>
    <row r="41" spans="1:2" ht="11.25" customHeight="1">
      <c r="A41" s="4" t="s">
        <v>3803</v>
      </c>
      <c r="B41" s="4" t="s">
        <v>3804</v>
      </c>
    </row>
    <row r="42" spans="1:2" ht="11.25" customHeight="1">
      <c r="A42" s="4" t="s">
        <v>3805</v>
      </c>
      <c r="B42" s="4" t="s">
        <v>3806</v>
      </c>
    </row>
    <row r="43" spans="1:2" ht="11.25" customHeight="1">
      <c r="A43" s="4" t="s">
        <v>3807</v>
      </c>
      <c r="B43" s="4" t="s">
        <v>3808</v>
      </c>
    </row>
    <row r="44" spans="1:2" ht="11.25" customHeight="1">
      <c r="A44" s="4" t="s">
        <v>3809</v>
      </c>
      <c r="B44" s="4" t="s">
        <v>3810</v>
      </c>
    </row>
    <row r="45" spans="1:2" ht="11.25" customHeight="1">
      <c r="A45" s="4" t="s">
        <v>3811</v>
      </c>
      <c r="B45" s="4" t="s">
        <v>3812</v>
      </c>
    </row>
    <row r="46" spans="1:2" ht="11.25" customHeight="1">
      <c r="A46" s="4" t="s">
        <v>3813</v>
      </c>
      <c r="B46" s="4" t="s">
        <v>3814</v>
      </c>
    </row>
    <row r="47" spans="1:2" ht="11.25" customHeight="1">
      <c r="A47" s="4" t="s">
        <v>3815</v>
      </c>
      <c r="B47" s="4" t="s">
        <v>3816</v>
      </c>
    </row>
    <row r="48" spans="1:2" ht="11.25" customHeight="1">
      <c r="A48" s="4" t="s">
        <v>3817</v>
      </c>
      <c r="B48" s="4" t="s">
        <v>3818</v>
      </c>
    </row>
    <row r="49" spans="1:2" ht="11.25" customHeight="1">
      <c r="A49" s="4" t="s">
        <v>3819</v>
      </c>
      <c r="B49" s="4" t="s">
        <v>3820</v>
      </c>
    </row>
    <row r="50" spans="1:2" ht="11.25" customHeight="1">
      <c r="A50" s="4" t="s">
        <v>3821</v>
      </c>
      <c r="B50" s="4" t="s">
        <v>3822</v>
      </c>
    </row>
    <row r="51" spans="1:2" ht="11.25" customHeight="1">
      <c r="A51" s="4" t="s">
        <v>3823</v>
      </c>
      <c r="B51" s="4" t="s">
        <v>3824</v>
      </c>
    </row>
    <row r="52" spans="1:2" ht="11.25" customHeight="1">
      <c r="A52" s="4" t="s">
        <v>3825</v>
      </c>
      <c r="B52" s="4" t="s">
        <v>3826</v>
      </c>
    </row>
    <row r="53" spans="1:2" ht="11.25" customHeight="1">
      <c r="A53" s="4" t="s">
        <v>3827</v>
      </c>
      <c r="B53" s="4" t="s">
        <v>3828</v>
      </c>
    </row>
    <row r="54" spans="1:2" ht="11.25" customHeight="1">
      <c r="A54" s="4" t="s">
        <v>3829</v>
      </c>
      <c r="B54" s="4" t="s">
        <v>3830</v>
      </c>
    </row>
    <row r="55" spans="1:2" ht="11.25" customHeight="1">
      <c r="A55" s="4" t="s">
        <v>3831</v>
      </c>
      <c r="B55" s="4" t="s">
        <v>3832</v>
      </c>
    </row>
    <row r="56" spans="1:2" ht="11.25" customHeight="1">
      <c r="A56" s="4" t="s">
        <v>3833</v>
      </c>
      <c r="B56" s="4" t="s">
        <v>3834</v>
      </c>
    </row>
    <row r="57" spans="1:2" ht="11.25" customHeight="1">
      <c r="A57" s="4" t="s">
        <v>3835</v>
      </c>
      <c r="B57" s="4" t="s">
        <v>3836</v>
      </c>
    </row>
    <row r="58" spans="1:2" ht="11.25" customHeight="1">
      <c r="A58" s="4" t="s">
        <v>3837</v>
      </c>
      <c r="B58" s="4" t="s">
        <v>3838</v>
      </c>
    </row>
    <row r="59" spans="1:2" ht="11.25" customHeight="1">
      <c r="A59" s="4" t="s">
        <v>3839</v>
      </c>
      <c r="B59" s="4" t="s">
        <v>3840</v>
      </c>
    </row>
    <row r="60" spans="1:2" ht="11.25" customHeight="1">
      <c r="A60" s="4" t="s">
        <v>3841</v>
      </c>
      <c r="B60" s="4" t="s">
        <v>3842</v>
      </c>
    </row>
    <row r="61" spans="1:2" ht="11.25" customHeight="1">
      <c r="A61" s="4"/>
      <c r="B61" s="4" t="s">
        <v>3843</v>
      </c>
    </row>
    <row r="62" spans="1:2" ht="11.25" customHeight="1">
      <c r="A62" s="4"/>
      <c r="B62" s="4" t="s">
        <v>3844</v>
      </c>
    </row>
    <row r="63" spans="1:2" ht="11.25" customHeight="1">
      <c r="A63" s="4"/>
      <c r="B63" s="4" t="s">
        <v>3845</v>
      </c>
    </row>
    <row r="64" spans="1:2" ht="11.25" customHeight="1">
      <c r="A64" s="4"/>
      <c r="B64" s="4" t="s">
        <v>3846</v>
      </c>
    </row>
    <row r="65" spans="1:2" ht="11.25" customHeight="1">
      <c r="A65" s="4"/>
      <c r="B65" s="4" t="s">
        <v>3847</v>
      </c>
    </row>
    <row r="66" spans="1:2" ht="11.25" customHeight="1">
      <c r="A66" s="4"/>
      <c r="B66" s="4" t="s">
        <v>3848</v>
      </c>
    </row>
    <row r="67" spans="1:2" ht="11.25" customHeight="1">
      <c r="A67" s="4"/>
      <c r="B67" s="4" t="s">
        <v>3849</v>
      </c>
    </row>
    <row r="68" spans="1:2" ht="11.25" customHeight="1">
      <c r="A68" s="4"/>
      <c r="B68" s="4" t="s">
        <v>3850</v>
      </c>
    </row>
    <row r="69" spans="1:2" ht="11.25" customHeight="1">
      <c r="A69" s="4"/>
      <c r="B69" s="4" t="s">
        <v>3851</v>
      </c>
    </row>
    <row r="70" spans="1:2" ht="11.25" customHeight="1">
      <c r="A70" s="4"/>
      <c r="B70" s="4" t="s">
        <v>3852</v>
      </c>
    </row>
    <row r="71" spans="1:2" ht="11.25" customHeight="1">
      <c r="A71" s="4"/>
      <c r="B71" s="4"/>
    </row>
    <row r="72" spans="1:2" ht="11.25" customHeight="1">
      <c r="A72" s="4"/>
      <c r="B72" s="4"/>
    </row>
    <row r="73" spans="1:2" ht="11.25" customHeight="1">
      <c r="A73" s="4"/>
      <c r="B73" s="4"/>
    </row>
    <row r="74" spans="1:2" ht="11.25" customHeight="1">
      <c r="A74" s="4"/>
      <c r="B74" s="4"/>
    </row>
    <row r="75" spans="1:2" ht="11.25" customHeight="1">
      <c r="A75" s="4"/>
      <c r="B75" s="4"/>
    </row>
    <row r="76" spans="1:2" ht="11.25" customHeight="1">
      <c r="A76" s="4"/>
      <c r="B76" s="4"/>
    </row>
    <row r="77" spans="1:2" ht="11.25" customHeight="1">
      <c r="A77" s="4"/>
      <c r="B77" s="4"/>
    </row>
    <row r="78" spans="1:2" ht="11.25" customHeight="1">
      <c r="A78" s="4"/>
      <c r="B78" s="4"/>
    </row>
    <row r="79" spans="1:2" ht="11.25" customHeight="1">
      <c r="A79" s="4"/>
      <c r="B79" s="4"/>
    </row>
    <row r="80" spans="1:2" ht="11.25" customHeight="1">
      <c r="A80" s="4"/>
      <c r="B80" s="4"/>
    </row>
    <row r="81" spans="1:2" ht="11.25" customHeight="1">
      <c r="A81" s="4"/>
      <c r="B81" s="4"/>
    </row>
    <row r="82" spans="1:2" ht="11.25" customHeight="1">
      <c r="A82" s="4"/>
      <c r="B82" s="4"/>
    </row>
    <row r="83" spans="1:2" ht="11.25" customHeight="1">
      <c r="A83" s="4"/>
      <c r="B83" s="4"/>
    </row>
    <row r="84" spans="1:2" ht="11.25" customHeight="1">
      <c r="A84" s="4"/>
      <c r="B84" s="4"/>
    </row>
    <row r="85" spans="1:2" ht="11.25" customHeight="1">
      <c r="A85" s="4"/>
      <c r="B85" s="4"/>
    </row>
    <row r="86" spans="1:2" ht="11.25" customHeight="1">
      <c r="A86" s="4"/>
      <c r="B86" s="4"/>
    </row>
    <row r="87" spans="1:2" ht="11.25" customHeight="1">
      <c r="A87" s="4"/>
      <c r="B87" s="4"/>
    </row>
    <row r="88" spans="1:2" ht="11.25" customHeight="1">
      <c r="A88" s="4"/>
      <c r="B88" s="4"/>
    </row>
    <row r="89" spans="1:2" ht="11.25" customHeight="1">
      <c r="A89" s="4"/>
      <c r="B89" s="4"/>
    </row>
    <row r="90" spans="1:2" ht="11.25" customHeight="1">
      <c r="A90" s="4"/>
      <c r="B90" s="4"/>
    </row>
    <row r="91" spans="1:2" ht="11.25" customHeight="1">
      <c r="A91" s="4"/>
      <c r="B91" s="4"/>
    </row>
    <row r="92" spans="1:2" ht="11.25" customHeight="1">
      <c r="A92" s="4"/>
      <c r="B92" s="4"/>
    </row>
    <row r="93" spans="1:2" ht="11.25" customHeight="1">
      <c r="A93" s="4"/>
      <c r="B93" s="4"/>
    </row>
    <row r="94" spans="1:2" ht="11.25" customHeight="1">
      <c r="A94" s="4"/>
      <c r="B94" s="4"/>
    </row>
    <row r="95" spans="1:2" ht="11.25" customHeight="1">
      <c r="A95" s="4"/>
      <c r="B95" s="4"/>
    </row>
    <row r="96" spans="1:2" ht="11.25" customHeight="1">
      <c r="A96" s="4"/>
      <c r="B96" s="4"/>
    </row>
    <row r="97" spans="1:2" ht="11.25" customHeight="1">
      <c r="A97" s="4"/>
      <c r="B97" s="4"/>
    </row>
    <row r="98" spans="1:2" ht="11.25" customHeight="1">
      <c r="A98" s="4"/>
      <c r="B98" s="4"/>
    </row>
    <row r="99" spans="1:2" ht="11.25" customHeight="1">
      <c r="A99" s="4"/>
      <c r="B99" s="4"/>
    </row>
    <row r="100" spans="1:2" ht="11.25" customHeight="1">
      <c r="A100" s="4"/>
      <c r="B100" s="4"/>
    </row>
    <row r="101" spans="1:2" ht="11.25" customHeight="1">
      <c r="A101" s="4"/>
      <c r="B101" s="4"/>
    </row>
    <row r="102" spans="1:2" ht="11.25" customHeight="1">
      <c r="A102" s="4"/>
      <c r="B102" s="4"/>
    </row>
    <row r="103" spans="1:2" ht="11.25" customHeight="1">
      <c r="A103" s="4"/>
      <c r="B103" s="4"/>
    </row>
    <row r="104" spans="1:2" ht="11.25" customHeight="1">
      <c r="A104" s="4"/>
      <c r="B104" s="4"/>
    </row>
    <row r="105" spans="1:2" ht="11.25" customHeight="1">
      <c r="A105" s="4"/>
      <c r="B105" s="4"/>
    </row>
    <row r="106" spans="1:2" ht="11.25" customHeight="1">
      <c r="A106" s="4"/>
      <c r="B106" s="4"/>
    </row>
    <row r="107" spans="1:2" ht="11.25" customHeight="1">
      <c r="A107" s="4"/>
      <c r="B107" s="4"/>
    </row>
    <row r="108" spans="1:2" ht="11.25" customHeight="1">
      <c r="A108" s="4"/>
      <c r="B108" s="4"/>
    </row>
    <row r="109" spans="1:2" ht="11.25" customHeight="1">
      <c r="A109" s="4"/>
      <c r="B109" s="4"/>
    </row>
    <row r="110" spans="1:2" ht="11.25" customHeight="1">
      <c r="A110" s="4"/>
      <c r="B110" s="4"/>
    </row>
    <row r="111" spans="1:2" ht="11.25" customHeight="1">
      <c r="A111" s="4"/>
      <c r="B111" s="4"/>
    </row>
    <row r="112" spans="1:2" ht="11.25" customHeight="1">
      <c r="A112" s="4"/>
      <c r="B112" s="4"/>
    </row>
    <row r="113" spans="1:2" ht="11.25" customHeight="1">
      <c r="A113" s="4"/>
      <c r="B113" s="4"/>
    </row>
    <row r="114" spans="1:2" ht="11.25" customHeight="1">
      <c r="A114" s="4"/>
      <c r="B114" s="4"/>
    </row>
    <row r="115" spans="1:2" ht="11.25" customHeight="1">
      <c r="A115" s="4"/>
      <c r="B115" s="4"/>
    </row>
    <row r="116" spans="1:2" ht="11.25" customHeight="1">
      <c r="A116" s="4"/>
      <c r="B116" s="4"/>
    </row>
    <row r="117" spans="1:2" ht="11.25" customHeight="1">
      <c r="A117" s="4"/>
      <c r="B117" s="4"/>
    </row>
    <row r="118" spans="1:2" ht="11.25" customHeight="1">
      <c r="A118" s="4"/>
      <c r="B118" s="4"/>
    </row>
    <row r="119" spans="1:2" ht="11.25" customHeight="1">
      <c r="A119" s="4"/>
      <c r="B119" s="4"/>
    </row>
    <row r="120" spans="1:2" ht="11.25" customHeight="1">
      <c r="A120" s="4"/>
      <c r="B120" s="4"/>
    </row>
    <row r="121" spans="1:2" ht="11.25" customHeight="1">
      <c r="A121" s="4"/>
      <c r="B121" s="4"/>
    </row>
    <row r="122" spans="1:2" ht="11.25" customHeight="1">
      <c r="A122" s="4"/>
      <c r="B122" s="4"/>
    </row>
    <row r="123" spans="1:2" ht="11.25" customHeight="1">
      <c r="A123" s="4"/>
      <c r="B123" s="4"/>
    </row>
    <row r="124" spans="1:2" ht="11.25" customHeight="1">
      <c r="A124" s="4"/>
      <c r="B124" s="4"/>
    </row>
    <row r="125" spans="1:2" ht="11.25" customHeight="1">
      <c r="A125" s="4"/>
      <c r="B125" s="4"/>
    </row>
    <row r="126" spans="1:2" ht="11.25" customHeight="1">
      <c r="A126" s="4"/>
      <c r="B126" s="4"/>
    </row>
    <row r="127" spans="1:2" ht="11.25" customHeight="1">
      <c r="A127" s="4"/>
      <c r="B127" s="4"/>
    </row>
    <row r="128" spans="1:2" ht="11.25" customHeight="1">
      <c r="A128" s="4"/>
      <c r="B128" s="4"/>
    </row>
    <row r="129" spans="1:2" ht="11.25" customHeight="1">
      <c r="A129" s="4"/>
      <c r="B129" s="4"/>
    </row>
    <row r="130" spans="1:2" ht="11.25" customHeight="1">
      <c r="A130" s="4"/>
      <c r="B130" s="4"/>
    </row>
    <row r="131" spans="1:2" ht="11.25" customHeight="1">
      <c r="A131" s="4"/>
      <c r="B131" s="4"/>
    </row>
    <row r="132" spans="1:2" ht="11.25" customHeight="1">
      <c r="A132" s="4"/>
      <c r="B132" s="4"/>
    </row>
    <row r="133" spans="1:2" ht="11.25" customHeight="1">
      <c r="A133" s="4"/>
      <c r="B133" s="4"/>
    </row>
    <row r="134" spans="1:2" ht="11.25" customHeight="1">
      <c r="A134" s="4"/>
      <c r="B134" s="4"/>
    </row>
    <row r="135" spans="1:2" ht="11.25" customHeight="1">
      <c r="A135" s="4"/>
      <c r="B135" s="4"/>
    </row>
    <row r="136" spans="1:2" ht="11.25" customHeight="1">
      <c r="A136" s="4"/>
      <c r="B136" s="4"/>
    </row>
    <row r="137" spans="1:2" ht="11.25" customHeight="1">
      <c r="A137" s="4"/>
      <c r="B137" s="4"/>
    </row>
    <row r="138" spans="1:2" ht="11.25" customHeight="1">
      <c r="A138" s="4"/>
      <c r="B138" s="4"/>
    </row>
    <row r="139" spans="1:2" ht="11.25" customHeight="1">
      <c r="A139" s="4"/>
      <c r="B139" s="4"/>
    </row>
    <row r="140" spans="1:2" ht="11.25" customHeight="1">
      <c r="A140" s="4"/>
      <c r="B140" s="4"/>
    </row>
    <row r="141" spans="1:2" ht="11.25" customHeight="1">
      <c r="A141" s="4"/>
      <c r="B141" s="4"/>
    </row>
    <row r="142" spans="1:2" ht="11.25" customHeight="1">
      <c r="A142" s="4"/>
      <c r="B142" s="4"/>
    </row>
    <row r="143" spans="1:2" ht="11.25" customHeight="1">
      <c r="A143" s="4"/>
      <c r="B143" s="4"/>
    </row>
    <row r="144" spans="1:2" ht="11.25" customHeight="1">
      <c r="A144" s="4"/>
      <c r="B144" s="4"/>
    </row>
    <row r="145" spans="1:2" ht="11.25" customHeight="1">
      <c r="A145" s="4"/>
      <c r="B145" s="4"/>
    </row>
    <row r="146" spans="1:2" ht="11.25" customHeight="1">
      <c r="A146" s="4"/>
      <c r="B146" s="4"/>
    </row>
    <row r="147" spans="1:2" ht="11.25" customHeight="1">
      <c r="A147" s="4"/>
      <c r="B147" s="4"/>
    </row>
    <row r="148" spans="1:2" ht="11.25" customHeight="1">
      <c r="A148" s="4"/>
      <c r="B148" s="4"/>
    </row>
    <row r="149" spans="1:2" ht="11.25" customHeight="1">
      <c r="A149" s="4"/>
      <c r="B149" s="4"/>
    </row>
    <row r="150" spans="1:2" ht="11.25" customHeight="1">
      <c r="A150" s="4"/>
      <c r="B150" s="4"/>
    </row>
    <row r="151" spans="1:2" ht="11.25" customHeight="1">
      <c r="A151" s="4"/>
      <c r="B151" s="4"/>
    </row>
    <row r="152" spans="1:2" ht="11.25" customHeight="1">
      <c r="A152" s="4"/>
      <c r="B152" s="4"/>
    </row>
    <row r="153" spans="1:2" ht="11.25" customHeight="1">
      <c r="A153" s="4"/>
      <c r="B153" s="4"/>
    </row>
    <row r="154" spans="1:2" ht="11.25" customHeight="1">
      <c r="A154" s="4"/>
      <c r="B154" s="4"/>
    </row>
    <row r="155" spans="1:2" ht="11.25" customHeight="1">
      <c r="A155" s="4"/>
      <c r="B155" s="4"/>
    </row>
    <row r="156" spans="1:2" ht="11.25" customHeight="1">
      <c r="A156" s="4"/>
      <c r="B156" s="4"/>
    </row>
    <row r="157" spans="1:2" ht="11.25" customHeight="1">
      <c r="A157" s="4"/>
      <c r="B157" s="4"/>
    </row>
    <row r="158" spans="1:2" ht="11.25" customHeight="1">
      <c r="A158" s="4"/>
      <c r="B158" s="4"/>
    </row>
    <row r="159" spans="1:2" ht="11.25" customHeight="1">
      <c r="A159" s="4"/>
      <c r="B159" s="4"/>
    </row>
    <row r="160" spans="1:2" ht="11.25" customHeight="1">
      <c r="A160" s="4"/>
      <c r="B160" s="4"/>
    </row>
    <row r="161" spans="1:2" ht="11.25" customHeight="1">
      <c r="A161" s="4"/>
      <c r="B161" s="4"/>
    </row>
    <row r="162" spans="1:2" ht="11.25" customHeight="1">
      <c r="A162" s="4"/>
      <c r="B162" s="4"/>
    </row>
    <row r="163" spans="1:2" ht="11.25" customHeight="1">
      <c r="A163" s="4"/>
      <c r="B163" s="4"/>
    </row>
    <row r="164" spans="1:2" ht="11.25" customHeight="1">
      <c r="A164" s="4"/>
      <c r="B164" s="4"/>
    </row>
    <row r="165" spans="1:2" ht="11.25" customHeight="1">
      <c r="A165" s="4"/>
      <c r="B165" s="4"/>
    </row>
    <row r="166" spans="1:2" ht="11.25" customHeight="1">
      <c r="A166" s="4"/>
      <c r="B166" s="4"/>
    </row>
    <row r="167" spans="1:2" ht="11.25" customHeight="1">
      <c r="A167" s="4"/>
      <c r="B167" s="4"/>
    </row>
    <row r="168" spans="1:2" ht="11.25" customHeight="1">
      <c r="A168" s="4"/>
      <c r="B168" s="4"/>
    </row>
    <row r="169" spans="1:2" ht="11.25" customHeight="1">
      <c r="A169" s="4"/>
      <c r="B169" s="4"/>
    </row>
    <row r="170" spans="1:2" ht="11.25" customHeight="1">
      <c r="A170" s="4"/>
      <c r="B170" s="4"/>
    </row>
    <row r="171" spans="1:2" ht="11.25" customHeight="1">
      <c r="A171" s="4"/>
      <c r="B171" s="4"/>
    </row>
    <row r="172" spans="1:2" ht="11.25" customHeight="1">
      <c r="A172" s="4"/>
      <c r="B172" s="4"/>
    </row>
    <row r="173" spans="1:2" ht="11.25" customHeight="1">
      <c r="A173" s="4"/>
      <c r="B173" s="4"/>
    </row>
    <row r="174" spans="1:2" ht="11.25" customHeight="1">
      <c r="A174" s="4"/>
      <c r="B174" s="4"/>
    </row>
    <row r="175" spans="1:2" ht="11.25" customHeight="1">
      <c r="A175" s="4"/>
      <c r="B175" s="4"/>
    </row>
    <row r="176" spans="1:2" ht="11.25" customHeight="1">
      <c r="A176" s="4"/>
      <c r="B176" s="4"/>
    </row>
    <row r="177" spans="1:2" ht="11.25" customHeight="1">
      <c r="A177" s="4"/>
      <c r="B177" s="4"/>
    </row>
    <row r="178" spans="1:2" ht="11.25" customHeight="1">
      <c r="A178" s="4"/>
      <c r="B178" s="4"/>
    </row>
    <row r="179" spans="1:2" ht="11.25" customHeight="1">
      <c r="A179" s="4"/>
      <c r="B179" s="4"/>
    </row>
    <row r="180" spans="1:2" ht="11.25" customHeight="1">
      <c r="A180" s="4"/>
      <c r="B180" s="4"/>
    </row>
    <row r="181" spans="1:2" ht="11.25" customHeight="1">
      <c r="A181" s="4"/>
      <c r="B181" s="4"/>
    </row>
    <row r="182" spans="1:2" ht="11.25" customHeight="1">
      <c r="A182" s="4"/>
      <c r="B182" s="4"/>
    </row>
    <row r="183" spans="1:2" ht="11.25" customHeight="1">
      <c r="A183" s="4"/>
      <c r="B183" s="4"/>
    </row>
    <row r="184" spans="1:2" ht="11.25" customHeight="1">
      <c r="A184" s="4"/>
      <c r="B184" s="4"/>
    </row>
    <row r="185" spans="1:2" ht="11.25" customHeight="1">
      <c r="A185" s="4"/>
      <c r="B185" s="4"/>
    </row>
    <row r="186" spans="1:2" ht="11.25" customHeight="1">
      <c r="A186" s="4"/>
      <c r="B186" s="4"/>
    </row>
    <row r="187" spans="1:2" ht="11.25" customHeight="1">
      <c r="A187" s="4"/>
      <c r="B187" s="4"/>
    </row>
    <row r="188" spans="1:2" ht="11.25" customHeight="1">
      <c r="A188" s="4"/>
      <c r="B188" s="4"/>
    </row>
    <row r="189" spans="1:2" ht="11.25" customHeight="1">
      <c r="A189" s="4"/>
      <c r="B189" s="4"/>
    </row>
    <row r="190" spans="1:2" ht="11.25" customHeight="1">
      <c r="A190" s="4"/>
      <c r="B190" s="4"/>
    </row>
    <row r="191" spans="1:2" ht="11.25" customHeight="1">
      <c r="A191" s="4"/>
      <c r="B191" s="4"/>
    </row>
    <row r="192" spans="1:2" ht="11.25" customHeight="1">
      <c r="A192" s="4"/>
      <c r="B192" s="4"/>
    </row>
    <row r="193" spans="1:2" ht="11.25" customHeight="1">
      <c r="A193" s="4"/>
      <c r="B193" s="4"/>
    </row>
    <row r="194" spans="1:2" ht="11.25" customHeight="1">
      <c r="A194" s="4"/>
      <c r="B194" s="4"/>
    </row>
    <row r="195" spans="1:2" ht="11.25" customHeight="1">
      <c r="A195" s="4"/>
      <c r="B195" s="4"/>
    </row>
    <row r="196" spans="1:2" ht="11.25" customHeight="1">
      <c r="A196" s="4"/>
      <c r="B196" s="4"/>
    </row>
    <row r="197" spans="1:2" ht="11.25" customHeight="1">
      <c r="A197" s="4"/>
      <c r="B197" s="4"/>
    </row>
    <row r="198" spans="1:2" ht="11.25" customHeight="1">
      <c r="A198" s="4"/>
      <c r="B198" s="4"/>
    </row>
    <row r="199" spans="1:2" ht="11.25" customHeight="1">
      <c r="A199" s="4"/>
      <c r="B199" s="4"/>
    </row>
    <row r="200" spans="1:2" ht="11.25" customHeight="1">
      <c r="A200" s="4"/>
      <c r="B200" s="4"/>
    </row>
    <row r="201" spans="1:2" ht="11.25" customHeight="1">
      <c r="A201" s="4"/>
      <c r="B201" s="4"/>
    </row>
    <row r="202" spans="1:2" ht="11.25" customHeight="1">
      <c r="A202" s="4"/>
      <c r="B202" s="4"/>
    </row>
    <row r="203" spans="1:2" ht="11.25" customHeight="1">
      <c r="A203" s="4"/>
      <c r="B203" s="4"/>
    </row>
    <row r="204" spans="1:2" ht="11.25" customHeight="1">
      <c r="A204" s="4"/>
      <c r="B204" s="4"/>
    </row>
    <row r="205" spans="1:2" ht="11.25" customHeight="1">
      <c r="A205" s="4"/>
      <c r="B205" s="4"/>
    </row>
    <row r="206" spans="1:2" ht="11.25" customHeight="1">
      <c r="A206" s="4"/>
      <c r="B206" s="4"/>
    </row>
    <row r="207" spans="1:2" ht="11.25" customHeight="1">
      <c r="A207" s="4"/>
      <c r="B207" s="4"/>
    </row>
    <row r="208" spans="1:2" ht="11.25" customHeight="1">
      <c r="A208" s="4"/>
      <c r="B208" s="4"/>
    </row>
    <row r="209" spans="1:2" ht="11.25" customHeight="1">
      <c r="A209" s="4"/>
      <c r="B209" s="4"/>
    </row>
    <row r="210" spans="1:2" ht="11.25" customHeight="1">
      <c r="A210" s="4"/>
      <c r="B210" s="4"/>
    </row>
    <row r="211" spans="1:2" ht="11.25" customHeight="1">
      <c r="A211" s="4"/>
      <c r="B211" s="4"/>
    </row>
    <row r="212" spans="1:2" ht="11.25" customHeight="1">
      <c r="A212" s="4"/>
      <c r="B212" s="4"/>
    </row>
    <row r="213" spans="1:2" ht="11.25" customHeight="1">
      <c r="A213" s="4"/>
      <c r="B213" s="4"/>
    </row>
    <row r="214" spans="1:2" ht="11.25" customHeight="1">
      <c r="A214" s="4"/>
      <c r="B214" s="4"/>
    </row>
    <row r="215" spans="1:2" ht="11.25" customHeight="1">
      <c r="A215" s="4"/>
      <c r="B215" s="4"/>
    </row>
    <row r="216" spans="1:2" ht="11.25" customHeight="1">
      <c r="A216" s="4"/>
      <c r="B216" s="4"/>
    </row>
    <row r="217" spans="1:2" ht="11.25" customHeight="1">
      <c r="A217" s="4"/>
      <c r="B217" s="4"/>
    </row>
    <row r="218" spans="1:2" ht="11.25" customHeight="1">
      <c r="A218" s="4"/>
      <c r="B218" s="4"/>
    </row>
    <row r="219" spans="1:2" ht="11.25" customHeight="1">
      <c r="A219" s="4"/>
      <c r="B219" s="4"/>
    </row>
    <row r="220" spans="1:2" ht="11.25" customHeight="1">
      <c r="A220" s="4"/>
      <c r="B220" s="4"/>
    </row>
    <row r="221" spans="1:2" ht="11.25" customHeight="1">
      <c r="A221" s="4"/>
      <c r="B221" s="4"/>
    </row>
    <row r="222" spans="1:2" ht="11.25" customHeight="1">
      <c r="A222" s="4"/>
      <c r="B222" s="4"/>
    </row>
    <row r="223" spans="1:2" ht="11.25" customHeight="1">
      <c r="A223" s="4"/>
      <c r="B223" s="4"/>
    </row>
    <row r="224" spans="1:2" ht="11.25" customHeight="1">
      <c r="A224" s="4"/>
      <c r="B224" s="4"/>
    </row>
    <row r="225" spans="1:2" ht="11.25" customHeight="1">
      <c r="A225" s="4"/>
      <c r="B225" s="4"/>
    </row>
    <row r="226" spans="1:2" ht="11.25" customHeight="1">
      <c r="A226" s="4"/>
      <c r="B226" s="4"/>
    </row>
    <row r="227" spans="1:2" ht="11.25" customHeight="1">
      <c r="A227" s="4"/>
      <c r="B227" s="4"/>
    </row>
    <row r="228" spans="1:2" ht="11.25" customHeight="1">
      <c r="A228" s="4"/>
      <c r="B228" s="4"/>
    </row>
    <row r="229" spans="1:2" ht="11.25" customHeight="1">
      <c r="A229" s="4"/>
      <c r="B229" s="4"/>
    </row>
    <row r="230" spans="1:2" ht="11.25" customHeight="1">
      <c r="A230" s="4"/>
      <c r="B230" s="4"/>
    </row>
    <row r="231" spans="1:2" ht="11.25" customHeight="1">
      <c r="A231" s="4"/>
      <c r="B231" s="4"/>
    </row>
    <row r="232" spans="1:2" ht="11.25" customHeight="1">
      <c r="A232" s="4"/>
      <c r="B232" s="4"/>
    </row>
    <row r="233" spans="1:2" ht="11.25" customHeight="1">
      <c r="A233" s="4"/>
      <c r="B233" s="4"/>
    </row>
    <row r="234" spans="1:2" ht="11.25" customHeight="1">
      <c r="A234" s="4"/>
      <c r="B234" s="4"/>
    </row>
    <row r="235" spans="1:2" ht="11.25" customHeight="1">
      <c r="A235" s="4"/>
      <c r="B235" s="4"/>
    </row>
    <row r="236" spans="1:2" ht="11.25" customHeight="1">
      <c r="A236" s="4"/>
      <c r="B236" s="4"/>
    </row>
    <row r="237" spans="1:2" ht="11.25" customHeight="1">
      <c r="A237" s="4"/>
      <c r="B237" s="4"/>
    </row>
    <row r="238" spans="1:2" ht="11.25" customHeight="1">
      <c r="A238" s="4"/>
      <c r="B238" s="4"/>
    </row>
    <row r="239" spans="1:2" ht="11.25" customHeight="1">
      <c r="A239" s="4"/>
      <c r="B239" s="4"/>
    </row>
    <row r="240" spans="1:2" ht="11.25" customHeight="1">
      <c r="A240" s="4"/>
      <c r="B240" s="4"/>
    </row>
    <row r="241" spans="1:2" ht="11.25" customHeight="1">
      <c r="A241" s="4"/>
      <c r="B241" s="4"/>
    </row>
    <row r="242" spans="1:2" ht="11.25" customHeight="1">
      <c r="A242" s="4"/>
      <c r="B242" s="4"/>
    </row>
    <row r="243" spans="1:2" ht="11.25" customHeight="1">
      <c r="A243" s="4"/>
      <c r="B243" s="4"/>
    </row>
    <row r="244" spans="1:2" ht="11.25" customHeight="1">
      <c r="A244" s="4"/>
      <c r="B244" s="4"/>
    </row>
    <row r="245" spans="1:2" ht="11.25" customHeight="1">
      <c r="A245" s="4"/>
      <c r="B245" s="4"/>
    </row>
    <row r="246" spans="1:2" ht="11.25" customHeight="1">
      <c r="A246" s="4"/>
      <c r="B246" s="4"/>
    </row>
    <row r="247" spans="1:2" ht="11.25" customHeight="1">
      <c r="A247" s="4"/>
      <c r="B247" s="4"/>
    </row>
    <row r="248" spans="1:2" ht="11.25" customHeight="1">
      <c r="A248" s="4"/>
      <c r="B248" s="4"/>
    </row>
    <row r="249" spans="1:2" ht="11.25" customHeight="1">
      <c r="A249" s="4"/>
      <c r="B249" s="4"/>
    </row>
    <row r="250" spans="1:2" ht="11.25" customHeight="1">
      <c r="A250" s="4"/>
      <c r="B250" s="4"/>
    </row>
    <row r="251" spans="1:2" ht="11.25" customHeight="1">
      <c r="A251" s="4"/>
      <c r="B251" s="4"/>
    </row>
    <row r="252" spans="1:2" ht="11.25" customHeight="1">
      <c r="A252" s="4"/>
      <c r="B252" s="4"/>
    </row>
    <row r="253" spans="1:2" ht="11.25" customHeight="1">
      <c r="A253" s="4"/>
      <c r="B253" s="4"/>
    </row>
  </sheetData>
  <sheetProtection formatColumns="0" formatRows="0"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C99"/>
  </sheetPr>
  <dimension ref="A1:D36"/>
  <sheetViews>
    <sheetView showGridLines="0" workbookViewId="0"/>
  </sheetViews>
  <sheetFormatPr defaultColWidth="9.140625" defaultRowHeight="11.25" customHeight="1"/>
  <cols>
    <col min="1" max="1" width="3.7109375" style="1775" customWidth="1"/>
    <col min="2" max="2" width="90.7109375" style="1775" customWidth="1"/>
    <col min="3" max="4" width="9.140625" style="1775"/>
  </cols>
  <sheetData>
    <row r="1" spans="2:4" ht="11.25" customHeight="1">
      <c r="B1" s="33" t="s">
        <v>3853</v>
      </c>
    </row>
    <row r="2" spans="2:4" ht="90" customHeight="1">
      <c r="B2" s="34" t="s">
        <v>3854</v>
      </c>
    </row>
    <row r="3" spans="2:4" ht="67.5" customHeight="1">
      <c r="B3" s="34" t="s">
        <v>3855</v>
      </c>
    </row>
    <row r="4" spans="2:4" ht="33.75" customHeight="1">
      <c r="B4" s="34" t="s">
        <v>3856</v>
      </c>
    </row>
    <row r="5" spans="2:4" ht="11.25" customHeight="1">
      <c r="B5" s="34" t="s">
        <v>3857</v>
      </c>
    </row>
    <row r="6" spans="2:4" ht="22.5" customHeight="1">
      <c r="B6" s="34" t="s">
        <v>3858</v>
      </c>
    </row>
    <row r="7" spans="2:4" ht="22.5" customHeight="1">
      <c r="B7" s="34" t="s">
        <v>3859</v>
      </c>
    </row>
    <row r="8" spans="2:4" ht="22.5" customHeight="1">
      <c r="B8" s="34" t="s">
        <v>3860</v>
      </c>
    </row>
    <row r="9" spans="2:4" ht="22.5" customHeight="1">
      <c r="B9" s="34" t="s">
        <v>3861</v>
      </c>
    </row>
    <row r="10" spans="2:4" ht="56.25" customHeight="1">
      <c r="B10" s="34" t="s">
        <v>3862</v>
      </c>
    </row>
    <row r="11" spans="2:4" ht="12.75" customHeight="1">
      <c r="B11" s="97" t="s">
        <v>3863</v>
      </c>
    </row>
    <row r="12" spans="2:4" ht="11.25" customHeight="1">
      <c r="B12" s="33" t="s">
        <v>3864</v>
      </c>
    </row>
    <row r="13" spans="2:4" ht="22.5" customHeight="1">
      <c r="B13" s="34" t="s">
        <v>3865</v>
      </c>
    </row>
    <row r="14" spans="2:4" ht="67.5" customHeight="1">
      <c r="B14" s="34" t="s">
        <v>3866</v>
      </c>
    </row>
    <row r="15" spans="2:4" ht="22.5" customHeight="1">
      <c r="B15" s="34" t="s">
        <v>3867</v>
      </c>
    </row>
    <row r="16" spans="2:4" ht="11.25" customHeight="1">
      <c r="B16" s="33" t="s">
        <v>3868</v>
      </c>
      <c r="D16" s="40"/>
    </row>
    <row r="17" spans="1:2" ht="33.75" customHeight="1">
      <c r="B17" s="34" t="s">
        <v>3869</v>
      </c>
    </row>
    <row r="18" spans="1:2" ht="33.75" customHeight="1">
      <c r="B18" s="34" t="s">
        <v>3870</v>
      </c>
    </row>
    <row r="19" spans="1:2" ht="11.25" customHeight="1">
      <c r="B19" s="34" t="s">
        <v>3871</v>
      </c>
    </row>
    <row r="20" spans="1:2" ht="33.75" customHeight="1">
      <c r="B20" s="34" t="s">
        <v>3872</v>
      </c>
    </row>
    <row r="21" spans="1:2" ht="11.25" customHeight="1">
      <c r="B21" s="33" t="s">
        <v>3873</v>
      </c>
    </row>
    <row r="22" spans="1:2" ht="11.25" customHeight="1">
      <c r="B22" s="34" t="s">
        <v>3874</v>
      </c>
    </row>
    <row r="24" spans="1:2" ht="22.5" customHeight="1">
      <c r="B24" s="99" t="s">
        <v>3875</v>
      </c>
    </row>
    <row r="26" spans="1:2" ht="11.25" customHeight="1">
      <c r="B26" s="33" t="s">
        <v>3876</v>
      </c>
    </row>
    <row r="27" spans="1:2" ht="22.5" customHeight="1">
      <c r="B27" s="98" t="s">
        <v>441</v>
      </c>
    </row>
    <row r="28" spans="1:2" ht="56.25" customHeight="1">
      <c r="B28" s="98" t="s">
        <v>3877</v>
      </c>
    </row>
    <row r="29" spans="1:2" ht="11.25" customHeight="1">
      <c r="B29" s="148" t="s">
        <v>3878</v>
      </c>
    </row>
    <row r="30" spans="1:2" ht="22.5" customHeight="1">
      <c r="B30" s="98" t="s">
        <v>3879</v>
      </c>
    </row>
    <row r="32" spans="1:2" ht="11.25" customHeight="1">
      <c r="A32" s="126"/>
      <c r="B32" s="127" t="s">
        <v>3880</v>
      </c>
    </row>
    <row r="33" spans="1:2" ht="14.25" customHeight="1">
      <c r="A33" s="128">
        <v>1</v>
      </c>
      <c r="B33" s="129" t="s">
        <v>3881</v>
      </c>
    </row>
    <row r="34" spans="1:2" ht="14.25" customHeight="1">
      <c r="A34" s="128">
        <v>2</v>
      </c>
      <c r="B34" s="129" t="s">
        <v>3882</v>
      </c>
    </row>
    <row r="35" spans="1:2" ht="11.25" customHeight="1">
      <c r="B35" s="127" t="s">
        <v>3883</v>
      </c>
    </row>
    <row r="36" spans="1:2" ht="11.25" customHeight="1">
      <c r="B36" s="129" t="s">
        <v>3884</v>
      </c>
    </row>
  </sheetData>
  <sheetProtection insertRows="0" deleteColumns="0" deleteRows="0" sort="0" autoFilter="0"/>
  <pageMargins left="0.75" right="0.75" top="1" bottom="1" header="0.5" footer="0.5"/>
  <pageSetup paperSize="9" orientation="portrait"/>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59999389629810485"/>
  </sheetPr>
  <dimension ref="A1:V18"/>
  <sheetViews>
    <sheetView showGridLines="0" zoomScale="90" workbookViewId="0">
      <pane xSplit="4" ySplit="13" topLeftCell="E14" activePane="bottomRight" state="frozen"/>
      <selection pane="topRight" activeCell="E1" sqref="E1"/>
      <selection pane="bottomLeft" activeCell="A14" sqref="A14"/>
      <selection pane="bottomRight"/>
    </sheetView>
  </sheetViews>
  <sheetFormatPr defaultColWidth="10.5703125" defaultRowHeight="14.25" customHeight="1"/>
  <cols>
    <col min="1" max="1" width="9.140625" style="1559" hidden="1" customWidth="1"/>
    <col min="2" max="2" width="9.140625" style="1562" hidden="1" customWidth="1"/>
    <col min="3" max="3" width="3" style="1767" customWidth="1"/>
    <col min="4" max="4" width="5" style="1562" customWidth="1"/>
    <col min="5" max="5" width="38" style="1562" customWidth="1"/>
    <col min="6" max="7" width="3" style="1562" customWidth="1"/>
    <col min="8" max="8" width="38" style="1562" customWidth="1"/>
    <col min="9" max="9" width="35" style="1562" customWidth="1"/>
    <col min="10" max="10" width="103" style="1562" customWidth="1"/>
    <col min="11" max="11" width="3" style="1745" customWidth="1"/>
    <col min="12" max="14" width="10" style="1569" customWidth="1"/>
    <col min="15" max="15" width="13" style="1569" customWidth="1"/>
    <col min="16" max="16" width="15" style="1569" customWidth="1"/>
    <col min="17" max="17" width="16" style="1569" customWidth="1"/>
    <col min="18" max="21" width="10" style="1569" customWidth="1"/>
    <col min="22" max="22" width="10.5703125" style="1562" hidden="1"/>
  </cols>
  <sheetData>
    <row r="1" spans="1:22" ht="22.5" hidden="1" customHeight="1">
      <c r="E1" s="349"/>
      <c r="F1" s="349"/>
      <c r="G1" s="349"/>
      <c r="H1" s="2874" t="s">
        <v>397</v>
      </c>
      <c r="I1" s="2874"/>
      <c r="V1" s="1534" t="s">
        <v>14</v>
      </c>
    </row>
    <row r="2" spans="1:22" s="1562" customFormat="1" ht="14.25" hidden="1" customHeight="1">
      <c r="C2" s="1546"/>
      <c r="D2" s="2878" t="s">
        <v>114</v>
      </c>
      <c r="E2" s="2880"/>
      <c r="F2" s="1552"/>
      <c r="G2" s="1547" t="s">
        <v>114</v>
      </c>
      <c r="H2" s="1550"/>
      <c r="I2" s="1548"/>
      <c r="L2" s="1549"/>
      <c r="M2" s="1549"/>
      <c r="N2" s="1549"/>
      <c r="O2" s="1549" t="s">
        <v>427</v>
      </c>
      <c r="P2" s="1549"/>
      <c r="Q2" s="1549"/>
      <c r="R2" s="1551" t="s">
        <v>426</v>
      </c>
      <c r="S2" s="1551" t="s">
        <v>426</v>
      </c>
      <c r="T2" s="1549"/>
      <c r="U2" s="1549"/>
      <c r="V2" s="1545">
        <v>0</v>
      </c>
    </row>
    <row r="3" spans="1:22" s="1562" customFormat="1" ht="14.25" hidden="1" customHeight="1">
      <c r="C3" s="1546"/>
      <c r="D3" s="2879"/>
      <c r="E3" s="2881"/>
      <c r="F3" s="342"/>
      <c r="G3" s="800"/>
      <c r="H3" s="800" t="s">
        <v>428</v>
      </c>
      <c r="I3" s="251"/>
      <c r="L3" s="1549"/>
      <c r="M3" s="1549"/>
      <c r="N3" s="1549"/>
      <c r="O3" s="1549"/>
      <c r="P3" s="1549"/>
      <c r="Q3" s="1549"/>
      <c r="R3" s="1551"/>
      <c r="S3" s="1551"/>
      <c r="T3" s="1549"/>
      <c r="U3" s="1549"/>
      <c r="V3" s="1545">
        <v>0</v>
      </c>
    </row>
    <row r="4" spans="1:22" ht="14.25" hidden="1" customHeight="1">
      <c r="V4" s="1534">
        <v>0</v>
      </c>
    </row>
    <row r="5" spans="1:22" s="1540" customFormat="1" ht="5.25" customHeight="1">
      <c r="C5" s="638"/>
      <c r="D5" s="639"/>
      <c r="E5" s="639"/>
      <c r="F5" s="639"/>
      <c r="G5" s="639"/>
      <c r="H5" s="639" t="s">
        <v>401</v>
      </c>
      <c r="I5" s="639"/>
      <c r="J5" s="639"/>
      <c r="L5" s="1541"/>
      <c r="M5" s="1541"/>
      <c r="N5" s="1541"/>
      <c r="O5" s="1541"/>
      <c r="P5" s="1541"/>
      <c r="Q5" s="1541"/>
      <c r="R5" s="1541"/>
      <c r="S5" s="1541"/>
      <c r="T5" s="1541"/>
      <c r="U5" s="1541"/>
      <c r="V5" s="1540">
        <v>5</v>
      </c>
    </row>
    <row r="6" spans="1:22" ht="29.25" customHeight="1">
      <c r="C6" s="1443"/>
      <c r="D6" s="2877" t="s">
        <v>429</v>
      </c>
      <c r="E6" s="2877"/>
      <c r="F6" s="2877"/>
      <c r="G6" s="2877"/>
      <c r="H6" s="2877"/>
      <c r="I6" s="2877"/>
      <c r="J6" s="428"/>
      <c r="K6" s="1542"/>
      <c r="V6" s="1534">
        <v>28</v>
      </c>
    </row>
    <row r="7" spans="1:22" ht="18" customHeight="1">
      <c r="C7" s="1443"/>
      <c r="D7" s="2849" t="str">
        <f>IF(org=0,"Не определено",org)</f>
        <v>ТМУП "ТТС"</v>
      </c>
      <c r="E7" s="2849"/>
      <c r="F7" s="2849"/>
      <c r="G7" s="2849"/>
      <c r="H7" s="2849"/>
      <c r="I7" s="2849"/>
      <c r="J7" s="428"/>
      <c r="K7" s="1542"/>
      <c r="V7" s="1534">
        <v>17</v>
      </c>
    </row>
    <row r="8" spans="1:22" s="1539" customFormat="1" ht="5.25" customHeight="1">
      <c r="A8" s="1538"/>
      <c r="C8" s="423"/>
      <c r="D8" s="422"/>
      <c r="E8" s="422"/>
      <c r="F8" s="422"/>
      <c r="G8" s="422"/>
      <c r="H8" s="422"/>
      <c r="I8" s="422"/>
      <c r="J8" s="422"/>
      <c r="L8" s="1541"/>
      <c r="M8" s="1541"/>
      <c r="N8" s="1541"/>
      <c r="O8" s="1541"/>
      <c r="P8" s="1541"/>
      <c r="Q8" s="1541"/>
      <c r="R8" s="1541"/>
      <c r="S8" s="1541"/>
      <c r="T8" s="1541"/>
      <c r="U8" s="1541"/>
      <c r="V8" s="1539">
        <v>5</v>
      </c>
    </row>
    <row r="9" spans="1:22" s="1539" customFormat="1" ht="5.25" customHeight="1">
      <c r="A9" s="1538"/>
      <c r="C9" s="423"/>
      <c r="D9" s="422"/>
      <c r="E9" s="422"/>
      <c r="F9" s="422"/>
      <c r="G9" s="422"/>
      <c r="H9" s="422"/>
      <c r="I9" s="422"/>
      <c r="J9" s="422"/>
      <c r="L9" s="1549"/>
      <c r="M9" s="1549"/>
      <c r="N9" s="1549"/>
      <c r="O9" s="1549"/>
      <c r="P9" s="1549"/>
      <c r="Q9" s="1549"/>
      <c r="R9" s="1549"/>
      <c r="S9" s="1549"/>
      <c r="T9" s="1549"/>
      <c r="U9" s="1549"/>
      <c r="V9" s="1539">
        <v>5</v>
      </c>
    </row>
    <row r="10" spans="1:22" ht="15" customHeight="1">
      <c r="C10" s="1443"/>
      <c r="D10" s="2862" t="s">
        <v>345</v>
      </c>
      <c r="E10" s="2875"/>
      <c r="F10" s="2875"/>
      <c r="G10" s="2875"/>
      <c r="H10" s="2875"/>
      <c r="I10" s="2875"/>
      <c r="J10" s="2817" t="s">
        <v>346</v>
      </c>
      <c r="V10" s="1534">
        <v>14</v>
      </c>
    </row>
    <row r="11" spans="1:22" ht="27" customHeight="1">
      <c r="C11" s="1443"/>
      <c r="D11" s="2758" t="s">
        <v>93</v>
      </c>
      <c r="E11" s="2817" t="s">
        <v>110</v>
      </c>
      <c r="F11" s="2830" t="s">
        <v>93</v>
      </c>
      <c r="G11" s="2831"/>
      <c r="H11" s="2829" t="s">
        <v>430</v>
      </c>
      <c r="I11" s="2829" t="s">
        <v>431</v>
      </c>
      <c r="J11" s="2817"/>
      <c r="V11" s="1534">
        <v>26</v>
      </c>
    </row>
    <row r="12" spans="1:22" ht="15" customHeight="1">
      <c r="C12" s="1443"/>
      <c r="D12" s="2758"/>
      <c r="E12" s="2817"/>
      <c r="F12" s="2835"/>
      <c r="G12" s="2836"/>
      <c r="H12" s="2882"/>
      <c r="I12" s="2882"/>
      <c r="J12" s="2817"/>
      <c r="V12" s="1534">
        <v>14</v>
      </c>
    </row>
    <row r="13" spans="1:22" s="1568" customFormat="1" ht="11.25" hidden="1" customHeight="1">
      <c r="C13" s="435"/>
      <c r="D13" s="436" t="s">
        <v>421</v>
      </c>
      <c r="E13" s="436"/>
      <c r="F13" s="436"/>
      <c r="G13" s="436"/>
      <c r="H13" s="434"/>
      <c r="I13" s="434"/>
      <c r="J13" s="372"/>
      <c r="L13" s="1541"/>
      <c r="M13" s="1541"/>
      <c r="N13" s="1541"/>
      <c r="O13" s="1541"/>
      <c r="P13" s="1541"/>
      <c r="Q13" s="1541"/>
      <c r="R13" s="1541"/>
      <c r="S13" s="1541"/>
      <c r="T13" s="1541"/>
      <c r="U13" s="1541"/>
      <c r="V13" s="433">
        <v>0</v>
      </c>
    </row>
    <row r="14" spans="1:22" ht="15" customHeight="1">
      <c r="A14" s="1534"/>
      <c r="C14" s="1443"/>
      <c r="D14" s="2878" t="s">
        <v>114</v>
      </c>
      <c r="E14" s="2880"/>
      <c r="F14" s="1544"/>
      <c r="G14" s="1543" t="s">
        <v>114</v>
      </c>
      <c r="H14" s="1550"/>
      <c r="I14" s="1548"/>
      <c r="J14" s="2802" t="s">
        <v>432</v>
      </c>
      <c r="K14" s="1534"/>
      <c r="R14" s="437" t="s">
        <v>426</v>
      </c>
      <c r="S14" s="437" t="s">
        <v>426</v>
      </c>
      <c r="V14" s="1534">
        <v>14</v>
      </c>
    </row>
    <row r="15" spans="1:22" ht="15" customHeight="1">
      <c r="A15" s="1534"/>
      <c r="C15" s="1443"/>
      <c r="D15" s="2879"/>
      <c r="E15" s="2881"/>
      <c r="F15" s="342"/>
      <c r="G15" s="800"/>
      <c r="H15" s="800" t="s">
        <v>428</v>
      </c>
      <c r="I15" s="251"/>
      <c r="J15" s="2803"/>
      <c r="K15" s="1534"/>
      <c r="R15" s="437"/>
      <c r="S15" s="437"/>
      <c r="V15" s="1534">
        <v>14</v>
      </c>
    </row>
    <row r="16" spans="1:22" ht="15" customHeight="1">
      <c r="A16" s="1534"/>
      <c r="C16" s="1443"/>
      <c r="D16" s="342"/>
      <c r="E16" s="800" t="s">
        <v>126</v>
      </c>
      <c r="F16" s="251"/>
      <c r="G16" s="251"/>
      <c r="H16" s="343"/>
      <c r="I16" s="343"/>
      <c r="J16" s="2804"/>
      <c r="K16" s="1534"/>
      <c r="V16" s="1534">
        <v>14</v>
      </c>
    </row>
    <row r="17" spans="1:22" ht="15" customHeight="1">
      <c r="K17" s="1534"/>
      <c r="V17" s="1534">
        <v>14</v>
      </c>
    </row>
    <row r="18" spans="1:22" ht="22.5" hidden="1" customHeight="1">
      <c r="A18" s="1535" t="s">
        <v>87</v>
      </c>
      <c r="B18" s="1534">
        <v>0</v>
      </c>
      <c r="C18" s="388">
        <v>3</v>
      </c>
      <c r="D18" s="1534">
        <v>5</v>
      </c>
      <c r="E18" s="1534">
        <v>38</v>
      </c>
      <c r="F18" s="1534">
        <v>3</v>
      </c>
      <c r="G18" s="1534">
        <v>3</v>
      </c>
      <c r="H18" s="1534">
        <v>38</v>
      </c>
      <c r="I18" s="1534">
        <v>35</v>
      </c>
      <c r="J18" s="1534">
        <v>103</v>
      </c>
      <c r="K18" s="1536">
        <v>3</v>
      </c>
      <c r="L18" s="1541">
        <v>10</v>
      </c>
      <c r="M18" s="1541">
        <v>10</v>
      </c>
      <c r="N18" s="1541">
        <v>10</v>
      </c>
      <c r="O18" s="1541">
        <v>13</v>
      </c>
      <c r="P18" s="1541">
        <v>15</v>
      </c>
      <c r="Q18" s="1541">
        <v>16</v>
      </c>
      <c r="R18" s="1541">
        <v>10</v>
      </c>
      <c r="S18" s="1541">
        <v>10</v>
      </c>
      <c r="T18" s="1541">
        <v>10</v>
      </c>
      <c r="U18" s="1541">
        <v>10</v>
      </c>
      <c r="V18" s="1534">
        <v>23</v>
      </c>
    </row>
  </sheetData>
  <sheetProtection formatColumns="0" formatRows="0" insertRows="0" deleteColumns="0" deleteRows="0" sort="0" autoFilter="0"/>
  <mergeCells count="15">
    <mergeCell ref="J14:J16"/>
    <mergeCell ref="D10:I10"/>
    <mergeCell ref="J10:J12"/>
    <mergeCell ref="D11:D12"/>
    <mergeCell ref="E11:E12"/>
    <mergeCell ref="F11:G12"/>
    <mergeCell ref="H11:H12"/>
    <mergeCell ref="I11:I12"/>
    <mergeCell ref="D14:D15"/>
    <mergeCell ref="E14:E15"/>
    <mergeCell ref="H1:I1"/>
    <mergeCell ref="D6:I6"/>
    <mergeCell ref="D7:I7"/>
    <mergeCell ref="D2:D3"/>
    <mergeCell ref="E2:E3"/>
  </mergeCells>
  <dataValidations count="5">
    <dataValidation type="textLength" operator="lessThanOrEqual" allowBlank="1" showInputMessage="1" showErrorMessage="1" errorTitle="Ошибка" error="Допускается ввод не более 900 символов!" sqref="H14 H2">
      <formula1>900</formula1>
    </dataValidation>
    <dataValidation allowBlank="1" showErrorMessage="1" errorTitle="Ошибка" error="Допускается ввод только неотрицательных чисел!" sqref="E13:G13"/>
    <dataValidation type="decimal" allowBlank="1" showErrorMessage="1" errorTitle="Ошибка" error="Допускается ввод только неотрицательных чисел!" sqref="H13:I13">
      <formula1>0</formula1>
      <formula2>9.99999999999999E+23</formula2>
    </dataValidation>
    <dataValidation allowBlank="1" showInputMessage="1" showErrorMessage="1" prompt="Выберите один или несколько одновременно видов деятельности, выполнив последовательно по одному щелчку на строке с видом деятельности" sqref="E14 E2"/>
    <dataValidation type="whole" allowBlank="1" showErrorMessage="1" errorTitle="Ошибка" error="Допускается ввод только неотрицательных целых чисел!" sqref="I14 I2">
      <formula1>0</formula1>
      <formula2>9.99999999999999E+23</formula2>
    </dataValidation>
  </dataValidations>
  <pageMargins left="0.7" right="0.7" top="0.75" bottom="0.75" header="0.3" footer="0.3"/>
  <pageSetup paperSize="9" orientation="portrait"/>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89</vt:i4>
      </vt:variant>
      <vt:variant>
        <vt:lpstr>Именованные диапазоны</vt:lpstr>
      </vt:variant>
      <vt:variant>
        <vt:i4>2229</vt:i4>
      </vt:variant>
    </vt:vector>
  </HeadingPairs>
  <TitlesOfParts>
    <vt:vector size="2318" baseType="lpstr">
      <vt:lpstr>Инструкция</vt:lpstr>
      <vt:lpstr>Титульный</vt:lpstr>
      <vt:lpstr>Список территорий</vt:lpstr>
      <vt:lpstr>Дифференциация</vt:lpstr>
      <vt:lpstr>Перечень тарифов</vt:lpstr>
      <vt:lpstr>Дифференциация тариф показатель</vt:lpstr>
      <vt:lpstr>Общая информация об организации</vt:lpstr>
      <vt:lpstr>Общая информация по ВД</vt:lpstr>
      <vt:lpstr>Виды объектов</vt:lpstr>
      <vt:lpstr>Сведения по территориям</vt:lpstr>
      <vt:lpstr>ТС. Т-ТЭ | &gt;=25МВт</vt:lpstr>
      <vt:lpstr>ТС. Т-ТЭ | ТСО</vt:lpstr>
      <vt:lpstr>ТС. Т-ТЭ | предел</vt:lpstr>
      <vt:lpstr>ТС. Т-ТЭ | индикат</vt:lpstr>
      <vt:lpstr>ТС. Резерв мощности</vt:lpstr>
      <vt:lpstr>ТС. Т-ТН</vt:lpstr>
      <vt:lpstr>ТС. Т-передача ТЭ</vt:lpstr>
      <vt:lpstr>ТС. Т-передача ТН</vt:lpstr>
      <vt:lpstr>ТС. Т-гор.вода</vt:lpstr>
      <vt:lpstr>ТС. Т-подкл</vt:lpstr>
      <vt:lpstr>ХВС. Т-пит</vt:lpstr>
      <vt:lpstr>ХВС. Т-тех</vt:lpstr>
      <vt:lpstr>ХВС. Т-транс</vt:lpstr>
      <vt:lpstr>ХВС. Т-подвоз</vt:lpstr>
      <vt:lpstr>ТС. Т-подкл(инд)</vt:lpstr>
      <vt:lpstr>ХВС. Т-подкл</vt:lpstr>
      <vt:lpstr>ВО. Т-во</vt:lpstr>
      <vt:lpstr>ВО. Т-транс</vt:lpstr>
      <vt:lpstr>ВО. Т-подкл</vt:lpstr>
      <vt:lpstr>ГВС. Т-гор.вода</vt:lpstr>
      <vt:lpstr>ГВС. Т-транс</vt:lpstr>
      <vt:lpstr>ГВС. Т-подкл</vt:lpstr>
      <vt:lpstr>Показатели ФХД</vt:lpstr>
      <vt:lpstr>Показатели ФХД &gt;20%</vt:lpstr>
      <vt:lpstr>Показатели ОТЭП</vt:lpstr>
      <vt:lpstr>Стандарты качества</vt:lpstr>
      <vt:lpstr>ТКО. Показатели ФХД</vt:lpstr>
      <vt:lpstr>ТКО. Транс. Показатели ФХД</vt:lpstr>
      <vt:lpstr>Показатели КНЭ</vt:lpstr>
      <vt:lpstr>Ограничения</vt:lpstr>
      <vt:lpstr>ИП</vt:lpstr>
      <vt:lpstr>ИП. Детализация</vt:lpstr>
      <vt:lpstr>ИП. Финансовый план</vt:lpstr>
      <vt:lpstr>ИП. КНЭ</vt:lpstr>
      <vt:lpstr>ТП</vt:lpstr>
      <vt:lpstr>Договоры</vt:lpstr>
      <vt:lpstr>Порядок ТП</vt:lpstr>
      <vt:lpstr>Предложение</vt:lpstr>
      <vt:lpstr>Сведения о закупках</vt:lpstr>
      <vt:lpstr>Потребительские характеристики</vt:lpstr>
      <vt:lpstr>TEHSHEET</vt:lpstr>
      <vt:lpstr>Орган регулирования</vt:lpstr>
      <vt:lpstr>Перечень организаций</vt:lpstr>
      <vt:lpstr>Дела об установлении тарифов</vt:lpstr>
      <vt:lpstr>Дела об утверждении ПУЦ</vt:lpstr>
      <vt:lpstr>Привлечение к ответственности</vt:lpstr>
      <vt:lpstr>ЭД</vt:lpstr>
      <vt:lpstr>Сведения об изменении</vt:lpstr>
      <vt:lpstr>Комментарии</vt:lpstr>
      <vt:lpstr>Проверка</vt:lpstr>
      <vt:lpstr>et_union_hor</vt:lpstr>
      <vt:lpstr>DATA_FORMS</vt:lpstr>
      <vt:lpstr>DATA_NPA</vt:lpstr>
      <vt:lpstr>Т-ТЭ | потр</vt:lpstr>
      <vt:lpstr>modMainProcedures</vt:lpstr>
      <vt:lpstr>modB_FHD</vt:lpstr>
      <vt:lpstr>modB_FHD20</vt:lpstr>
      <vt:lpstr>modB_KNE</vt:lpstr>
      <vt:lpstr>modIP_MAIN</vt:lpstr>
      <vt:lpstr>modIP_QRE</vt:lpstr>
      <vt:lpstr>modIP_DETAILED</vt:lpstr>
      <vt:lpstr>et_union_vert</vt:lpstr>
      <vt:lpstr>Легенда</vt:lpstr>
      <vt:lpstr>modfrmListIP</vt:lpstr>
      <vt:lpstr>modfrmActivity</vt:lpstr>
      <vt:lpstr>REESTR_ORG</vt:lpstr>
      <vt:lpstr>REESTR_MO</vt:lpstr>
      <vt:lpstr>REESTR_IP</vt:lpstr>
      <vt:lpstr>REESTR_OBJ_INFR</vt:lpstr>
      <vt:lpstr>REESTR_DS</vt:lpstr>
      <vt:lpstr>REESTR_VT</vt:lpstr>
      <vt:lpstr>REESTR_VED</vt:lpstr>
      <vt:lpstr>REESTR_MO_FILTER</vt:lpstr>
      <vt:lpstr>REESTR_LINK</vt:lpstr>
      <vt:lpstr>modSheetMain</vt:lpstr>
      <vt:lpstr>modfrmReportMode</vt:lpstr>
      <vt:lpstr>modfrmReestrObj</vt:lpstr>
      <vt:lpstr>AllSheetsInThisWorkbook</vt:lpstr>
      <vt:lpstr>modInfo</vt:lpstr>
      <vt:lpstr>Проверка!_ФильтрБазыДанных</vt:lpstr>
      <vt:lpstr>B_FHD_CHECK_INDEX_1</vt:lpstr>
      <vt:lpstr>B_FHD_CHECK_INDEX_2</vt:lpstr>
      <vt:lpstr>B_FHD_COSTS_INDEX_1</vt:lpstr>
      <vt:lpstr>B_FHD_COSTS_INDEX_2</vt:lpstr>
      <vt:lpstr>B_FHD_DATA_TOP80_ACTIVITY</vt:lpstr>
      <vt:lpstr>B_FHD_diff_1</vt:lpstr>
      <vt:lpstr>B_FHD_FLAG_DIFFERENTIATION</vt:lpstr>
      <vt:lpstr>B_FHD_FLAG_INDEX_1</vt:lpstr>
      <vt:lpstr>B_FHD_FLAG_INDEX_2</vt:lpstr>
      <vt:lpstr>B_FHD_TKO_DATA_TOP80_ACTIVITY</vt:lpstr>
      <vt:lpstr>B_FHD_TKO_diff_1</vt:lpstr>
      <vt:lpstr>B_FHD_TKO_FLAG_DIFFERENTIATION</vt:lpstr>
      <vt:lpstr>B_FHD_TKO_TRANS_DATA_TOP80_ACTIVITY</vt:lpstr>
      <vt:lpstr>B_FHD_TKO_TRANS_diff_1</vt:lpstr>
      <vt:lpstr>B_FHD_TKO_TRANS_FLAG_DIFFERENTIATION</vt:lpstr>
      <vt:lpstr>B_FHD20_ADD_HL_2_COLUMN_MARKER</vt:lpstr>
      <vt:lpstr>B_FHD20_ADD_HL_3_COLUMN_MARKER</vt:lpstr>
      <vt:lpstr>B_FHD20_ADD_HL_4_COLUMN_MARKER</vt:lpstr>
      <vt:lpstr>B_FHD20_ALL_DATA</vt:lpstr>
      <vt:lpstr>B_FHD20_COSTS_OPS_diff_1</vt:lpstr>
      <vt:lpstr>B_FHD20_COSTS_PH_diff_1</vt:lpstr>
      <vt:lpstr>B_FHD20_DEL_HL_2_COLUMN_MARKER</vt:lpstr>
      <vt:lpstr>B_FHD20_DEL_HL_3_COLUMN_MARKER</vt:lpstr>
      <vt:lpstr>B_FHD20_DEL_HL_4_COLUMN_MARKER</vt:lpstr>
      <vt:lpstr>B_FHD20_diff_1</vt:lpstr>
      <vt:lpstr>B_FHD20_FLAG_FHD</vt:lpstr>
      <vt:lpstr>B_FHD20_NUMBER_COLUMN_MARKER</vt:lpstr>
      <vt:lpstr>B_FHD20_PART_COLUMN_MARKER</vt:lpstr>
      <vt:lpstr>B_KNE_diff_1</vt:lpstr>
      <vt:lpstr>B_OTEP_diff_1</vt:lpstr>
      <vt:lpstr>B_OTEP_FLAG_DIFFERENTIATION</vt:lpstr>
      <vt:lpstr>B_OTEP_HEAT_DATA_TOP80_ACTIVITY</vt:lpstr>
      <vt:lpstr>BLOCK_BALANCE_INDICATORS</vt:lpstr>
      <vt:lpstr>BLOCK_BALANCE_TKO_FLAG_TRANS</vt:lpstr>
      <vt:lpstr>BLOCK_CONNECTION_STATE</vt:lpstr>
      <vt:lpstr>BLOCK_DIFF_CS</vt:lpstr>
      <vt:lpstr>BLOCK_DIFFERENTIATION_NOT_TKO</vt:lpstr>
      <vt:lpstr>BLOCK_FIRST_TARIFF</vt:lpstr>
      <vt:lpstr>BLOCK_FIRST_TARIFF_OREG_PUBL</vt:lpstr>
      <vt:lpstr>BLOCK_IP_DETAILED_FACT_IST_FIN</vt:lpstr>
      <vt:lpstr>BLOCK_IP_DETAILED_FACT_PERIOD_EVENT</vt:lpstr>
      <vt:lpstr>BLOCK_MAIN_INFO_HEAT</vt:lpstr>
      <vt:lpstr>BLOCK_MAIN_INFO_NOT_TKO</vt:lpstr>
      <vt:lpstr>BLOCK_MAIN_INFO_OBJECT_COLDVSNA</vt:lpstr>
      <vt:lpstr>BLOCK_MAIN_INFO_OBJECT_COMM_COLDVSNA</vt:lpstr>
      <vt:lpstr>BLOCK_MAIN_INFO_OBJECT_COMM_HEAT</vt:lpstr>
      <vt:lpstr>BLOCK_MAIN_INFO_OBJECT_COMM_HOTVSNA</vt:lpstr>
      <vt:lpstr>BLOCK_MAIN_INFO_OBJECT_COMM_VOTV</vt:lpstr>
      <vt:lpstr>BLOCK_MAIN_INFO_OBJECT_HEAT</vt:lpstr>
      <vt:lpstr>BLOCK_MAIN_INFO_OBJECT_HOTVSNA</vt:lpstr>
      <vt:lpstr>BLOCK_MAIN_INFO_OBJECT_VOTV</vt:lpstr>
      <vt:lpstr>BLOCK_NOT_ROIV_INDICATORS_1</vt:lpstr>
      <vt:lpstr>BLOCK_NOT_ROIV_INDICATORS_2</vt:lpstr>
      <vt:lpstr>BLOCK_NOT_ROIV_INDICATORS_3</vt:lpstr>
      <vt:lpstr>BLOCK_NOTE_P_TARIFF_A</vt:lpstr>
      <vt:lpstr>BLOCK_NOTE_P_TARIFF_A_COLDVSNA</vt:lpstr>
      <vt:lpstr>BLOCK_NOTE_P_TARIFF_A_HOTVSNA</vt:lpstr>
      <vt:lpstr>BLOCK_NOTE_P_TARIFF_A_VOTV</vt:lpstr>
      <vt:lpstr>BLOCK_NOTE_P_TARIFF_B</vt:lpstr>
      <vt:lpstr>BLOCK_NOTE_P_TARIFF_B_COLDVSNA</vt:lpstr>
      <vt:lpstr>BLOCK_NOTE_P_TARIFF_B_HOTVSNA</vt:lpstr>
      <vt:lpstr>BLOCK_NOTE_P_TARIFF_B_VOTV</vt:lpstr>
      <vt:lpstr>BLOCK_NOTE_P_TARIFF_C</vt:lpstr>
      <vt:lpstr>BLOCK_NOTE_P_TARIFF_C_COLDVSNA</vt:lpstr>
      <vt:lpstr>BLOCK_NOTE_P_TARIFF_C_HOTVSNA</vt:lpstr>
      <vt:lpstr>BLOCK_NOTE_P_TARIFF_C_VOTV</vt:lpstr>
      <vt:lpstr>BLOCK_NOTE_P_TARIFF_D</vt:lpstr>
      <vt:lpstr>BLOCK_NOTE_P_TARIFF_D_COLDVSNA</vt:lpstr>
      <vt:lpstr>BLOCK_NOTE_P_TARIFF_E_COLDVSNA</vt:lpstr>
      <vt:lpstr>BLOCK_NOTE_P_TARIFF_E1</vt:lpstr>
      <vt:lpstr>BLOCK_NOTE_P_TARIFF_E2</vt:lpstr>
      <vt:lpstr>BLOCK_NOTE_P_TARIFF_F</vt:lpstr>
      <vt:lpstr>BLOCK_NOTE_P_TARIFF_G</vt:lpstr>
      <vt:lpstr>BLOCK_NOTE_P_TARIFF_H</vt:lpstr>
      <vt:lpstr>BLOCK_NOTE_P_TARIFF_I</vt:lpstr>
      <vt:lpstr>BLOCK_NOTE_P_TARIFF_I_1</vt:lpstr>
      <vt:lpstr>BLOCK_NOTE_R_TARIFF_A</vt:lpstr>
      <vt:lpstr>BLOCK_NOTE_R_TARIFF_A_COLDVSNA</vt:lpstr>
      <vt:lpstr>BLOCK_NOTE_R_TARIFF_A_HOTVSNA</vt:lpstr>
      <vt:lpstr>BLOCK_NOTE_R_TARIFF_A_VOTV</vt:lpstr>
      <vt:lpstr>BLOCK_NOTE_R_TARIFF_B</vt:lpstr>
      <vt:lpstr>BLOCK_NOTE_R_TARIFF_B_COLDVSNA</vt:lpstr>
      <vt:lpstr>BLOCK_NOTE_R_TARIFF_B_HOTVSNA</vt:lpstr>
      <vt:lpstr>BLOCK_NOTE_R_TARIFF_B_VOTV</vt:lpstr>
      <vt:lpstr>BLOCK_NOTE_R_TARIFF_C</vt:lpstr>
      <vt:lpstr>BLOCK_NOTE_R_TARIFF_C_COLDVSNA</vt:lpstr>
      <vt:lpstr>BLOCK_NOTE_R_TARIFF_C_HOTVSNA</vt:lpstr>
      <vt:lpstr>BLOCK_NOTE_R_TARIFF_C_VOTV</vt:lpstr>
      <vt:lpstr>BLOCK_NOTE_R_TARIFF_D</vt:lpstr>
      <vt:lpstr>BLOCK_NOTE_R_TARIFF_D_COLDVSNA</vt:lpstr>
      <vt:lpstr>BLOCK_NOTE_R_TARIFF_E_COLDVSNA</vt:lpstr>
      <vt:lpstr>BLOCK_NOTE_R_TARIFF_E1</vt:lpstr>
      <vt:lpstr>BLOCK_NOTE_R_TARIFF_E2</vt:lpstr>
      <vt:lpstr>BLOCK_NOTE_R_TARIFF_F</vt:lpstr>
      <vt:lpstr>BLOCK_NOTE_R_TARIFF_G</vt:lpstr>
      <vt:lpstr>BLOCK_NOTE_R_TARIFF_H</vt:lpstr>
      <vt:lpstr>BLOCK_NOTE_R_TARIFF_I</vt:lpstr>
      <vt:lpstr>BLOCK_NOTE_R_TARIFF_I_1</vt:lpstr>
      <vt:lpstr>BLOCK_PERIOD_DATA</vt:lpstr>
      <vt:lpstr>BLOCK_PERIOD_QUARTER</vt:lpstr>
      <vt:lpstr>BLOCK_PERIOD_TWO_DATA</vt:lpstr>
      <vt:lpstr>BLOCK_PERIOD_YEAR</vt:lpstr>
      <vt:lpstr>BLOCK_POK_FHD_COLDVSNA_P1</vt:lpstr>
      <vt:lpstr>BLOCK_POK_FHD_COLDVSNA_P2</vt:lpstr>
      <vt:lpstr>BLOCK_POK_FHD_HEAT_ONLY_REG_ORG_P1</vt:lpstr>
      <vt:lpstr>BLOCK_POK_FHD_HEAT_ONLY_REG_ORG_P2</vt:lpstr>
      <vt:lpstr>BLOCK_POK_FHD_HEAT_P1</vt:lpstr>
      <vt:lpstr>BLOCK_POK_FHD_HEAT_P2</vt:lpstr>
      <vt:lpstr>BLOCK_POK_FHD_HEAT_P3</vt:lpstr>
      <vt:lpstr>BLOCK_POK_FHD_HEAT_P4</vt:lpstr>
      <vt:lpstr>BLOCK_POK_FHD_HEAT_P5</vt:lpstr>
      <vt:lpstr>BLOCK_POK_FHD_HEAT_P6</vt:lpstr>
      <vt:lpstr>BLOCK_POK_FHD_HOTVSNA_P1</vt:lpstr>
      <vt:lpstr>BLOCK_POK_FHD_HOTVSNA_P2</vt:lpstr>
      <vt:lpstr>BLOCK_POK_FHD_NOT_HEAT_P1</vt:lpstr>
      <vt:lpstr>BLOCK_POK_FHD_NOT_HEAT_P2</vt:lpstr>
      <vt:lpstr>BLOCK_POK_FHD_NOT_HOTVSNA</vt:lpstr>
      <vt:lpstr>BLOCK_POK_FHD_VOTV_P1</vt:lpstr>
      <vt:lpstr>BLOCK_POK_FHD_VSNA</vt:lpstr>
      <vt:lpstr>BLOCK_POK_FHD20_NOT_HEAT</vt:lpstr>
      <vt:lpstr>BLOCK_POK_KNE_COLDVSNA</vt:lpstr>
      <vt:lpstr>BLOCK_POK_KNE_HEAT</vt:lpstr>
      <vt:lpstr>BLOCK_POK_KNE_HOTVSNA</vt:lpstr>
      <vt:lpstr>BLOCK_POK_KNE_VOTV</vt:lpstr>
      <vt:lpstr>BLOCK_PRICE_INDICATORS_HEAT</vt:lpstr>
      <vt:lpstr>BLOCK_PRICE_INDICATORS_LEVEL</vt:lpstr>
      <vt:lpstr>BLOCK_PRICE_IST_TE</vt:lpstr>
      <vt:lpstr>BLOCK_PRICE_REQUEST</vt:lpstr>
      <vt:lpstr>BLOCK_PT_COLDVSNA</vt:lpstr>
      <vt:lpstr>BLOCK_PT_HEAT</vt:lpstr>
      <vt:lpstr>BLOCK_PT_HEAT_NOT_R</vt:lpstr>
      <vt:lpstr>BLOCK_PT_HEAT_NOT_R_TMP</vt:lpstr>
      <vt:lpstr>BLOCK_PT_HEAT_PHEAT</vt:lpstr>
      <vt:lpstr>BLOCK_PT_HEAT_PHEAT_HIDDEN_FORMULAS</vt:lpstr>
      <vt:lpstr>BLOCK_PT_HEAT_RHEAT</vt:lpstr>
      <vt:lpstr>BLOCK_PT_HEAT_RHEAT_HIDDEN_FORMULAS</vt:lpstr>
      <vt:lpstr>BLOCK_PT_HOTVSNA</vt:lpstr>
      <vt:lpstr>BLOCK_PT_VOTV</vt:lpstr>
      <vt:lpstr>BLOCK_TABLE_P_TARIFF_A</vt:lpstr>
      <vt:lpstr>BLOCK_TABLE_P_TARIFF_A_COLDVSNA</vt:lpstr>
      <vt:lpstr>BLOCK_TABLE_P_TARIFF_A_HOTVSNA</vt:lpstr>
      <vt:lpstr>BLOCK_TABLE_P_TARIFF_A_VOTV</vt:lpstr>
      <vt:lpstr>BLOCK_TABLE_P_TARIFF_B</vt:lpstr>
      <vt:lpstr>BLOCK_TABLE_P_TARIFF_B_COLDVSNA</vt:lpstr>
      <vt:lpstr>BLOCK_TABLE_P_TARIFF_B_HOTVSNA</vt:lpstr>
      <vt:lpstr>BLOCK_TABLE_P_TARIFF_B_VOTV</vt:lpstr>
      <vt:lpstr>BLOCK_TABLE_P_TARIFF_C</vt:lpstr>
      <vt:lpstr>BLOCK_TABLE_P_TARIFF_C_COLDVSNA</vt:lpstr>
      <vt:lpstr>BLOCK_TABLE_P_TARIFF_C_HOTVSNA</vt:lpstr>
      <vt:lpstr>BLOCK_TABLE_P_TARIFF_C_VOTV</vt:lpstr>
      <vt:lpstr>BLOCK_TABLE_P_TARIFF_D</vt:lpstr>
      <vt:lpstr>BLOCK_TABLE_P_TARIFF_D_COLDVSNA</vt:lpstr>
      <vt:lpstr>BLOCK_TABLE_P_TARIFF_E_COLDVSNA</vt:lpstr>
      <vt:lpstr>BLOCK_TABLE_P_TARIFF_E1</vt:lpstr>
      <vt:lpstr>BLOCK_TABLE_P_TARIFF_E2</vt:lpstr>
      <vt:lpstr>BLOCK_TABLE_P_TARIFF_F</vt:lpstr>
      <vt:lpstr>BLOCK_TABLE_P_TARIFF_G</vt:lpstr>
      <vt:lpstr>BLOCK_TABLE_P_TARIFF_H</vt:lpstr>
      <vt:lpstr>BLOCK_TABLE_P_TARIFF_I</vt:lpstr>
      <vt:lpstr>BLOCK_TABLE_P_TARIFF_I_1</vt:lpstr>
      <vt:lpstr>BLOCK_TABLE_R_TARIFF_A</vt:lpstr>
      <vt:lpstr>BLOCK_TABLE_R_TARIFF_A_COLDVSNA</vt:lpstr>
      <vt:lpstr>BLOCK_TABLE_R_TARIFF_A_HOTVSNA</vt:lpstr>
      <vt:lpstr>BLOCK_TABLE_R_TARIFF_A_VOTV</vt:lpstr>
      <vt:lpstr>BLOCK_TABLE_R_TARIFF_B</vt:lpstr>
      <vt:lpstr>BLOCK_TABLE_R_TARIFF_B_COLDVSNA</vt:lpstr>
      <vt:lpstr>BLOCK_TABLE_R_TARIFF_B_HOTVSNA</vt:lpstr>
      <vt:lpstr>BLOCK_TABLE_R_TARIFF_B_VOTV</vt:lpstr>
      <vt:lpstr>BLOCK_TABLE_R_TARIFF_C</vt:lpstr>
      <vt:lpstr>BLOCK_TABLE_R_TARIFF_C_COLDVSNA</vt:lpstr>
      <vt:lpstr>BLOCK_TABLE_R_TARIFF_C_HOTVSNA</vt:lpstr>
      <vt:lpstr>BLOCK_TABLE_R_TARIFF_C_VOTV</vt:lpstr>
      <vt:lpstr>BLOCK_TABLE_R_TARIFF_D</vt:lpstr>
      <vt:lpstr>BLOCK_TABLE_R_TARIFF_D_COLDVSNA</vt:lpstr>
      <vt:lpstr>BLOCK_TABLE_R_TARIFF_E_COLDVSNA</vt:lpstr>
      <vt:lpstr>BLOCK_TABLE_R_TARIFF_E1</vt:lpstr>
      <vt:lpstr>BLOCK_TABLE_R_TARIFF_E2</vt:lpstr>
      <vt:lpstr>BLOCK_TABLE_R_TARIFF_F</vt:lpstr>
      <vt:lpstr>BLOCK_TABLE_R_TARIFF_G</vt:lpstr>
      <vt:lpstr>BLOCK_TABLE_R_TARIFF_H</vt:lpstr>
      <vt:lpstr>BLOCK_TABLE_R_TARIFF_I</vt:lpstr>
      <vt:lpstr>BLOCK_TABLE_R_TARIFF_I_1</vt:lpstr>
      <vt:lpstr>BLOCK_TEMPLATES_INVEST_TIT</vt:lpstr>
      <vt:lpstr>BLOCK_TERMS_HEAT_P1</vt:lpstr>
      <vt:lpstr>BLOCK_TERMS_NOT_TKO_P1</vt:lpstr>
      <vt:lpstr>BLOCK_TERMS_NOT_TKO_P2</vt:lpstr>
      <vt:lpstr>BLOCK_TERMS_TKO_TRANS</vt:lpstr>
      <vt:lpstr>BLOCK_TERRITORY_INFO</vt:lpstr>
      <vt:lpstr>BLOCK_TITLE_ROIV_INFO</vt:lpstr>
      <vt:lpstr>BLOCK_WARM_ORG_TYPE</vt:lpstr>
      <vt:lpstr>checkCell_List01</vt:lpstr>
      <vt:lpstr>checkCell_List07</vt:lpstr>
      <vt:lpstr>CLASS_TKO_LIST</vt:lpstr>
      <vt:lpstr>code</vt:lpstr>
      <vt:lpstr>CodeTemplateList</vt:lpstr>
      <vt:lpstr>COLDVSNA_FIN_SRC_LIST</vt:lpstr>
      <vt:lpstr>COLDVSNA_FIN_SRC_VLD_LIST</vt:lpstr>
      <vt:lpstr>COLDVSNA_IP_EVENT_CI_STAGE_LIST</vt:lpstr>
      <vt:lpstr>COLDVSNA_IP_EVENT_GROUP_LIST</vt:lpstr>
      <vt:lpstr>COLDVSNA_IP_EVENT_SUBGROUP_1_LIST</vt:lpstr>
      <vt:lpstr>COLDVSNA_IP_EVENT_SUBGROUP_3_LIST</vt:lpstr>
      <vt:lpstr>COLDVSNA_IP_EVENT_SUBGROUP_5_LIST</vt:lpstr>
      <vt:lpstr>COLDVSNA_IP_EVENT_TYPE_LIST</vt:lpstr>
      <vt:lpstr>COLDVSNA_PT_VED_ID</vt:lpstr>
      <vt:lpstr>COLDVSNA_PT_VED_NAME</vt:lpstr>
      <vt:lpstr>COLDVSNA_PT_VED_NAME_LIST</vt:lpstr>
      <vt:lpstr>COLDVSNA_TARIFF_A_COLDVSNA_ADD_HL_COLUMN_MARKER</vt:lpstr>
      <vt:lpstr>COLDVSNA_TARIFF_A_COLDVSNA_DEL_HL_DATA_DIFF_COLUMN_MARKER</vt:lpstr>
      <vt:lpstr>COLDVSNA_TARIFF_A_COLDVSNA_DEL_HL_FLAG_DIFF_COLUMN_MARKER</vt:lpstr>
      <vt:lpstr>COLDVSNA_TARIFF_A_COLDVSNA_DEL_HL_GC_COLUMN_MARKER</vt:lpstr>
      <vt:lpstr>COLDVSNA_TARIFF_A_COLDVSNA_DELETE_PERIOD_ROW_MARKER</vt:lpstr>
      <vt:lpstr>COLDVSNA_TARIFF_A_COLDVSNA_FLAG_BLOCK_COLUMN_MARKER</vt:lpstr>
      <vt:lpstr>COLDVSNA_TARIFF_A_COLDVSNA_FLAG_BLOCK_ROW_MARKER</vt:lpstr>
      <vt:lpstr>COLDVSNA_TARIFF_A_COLDVSNA_NUM_CS_COLUMN_MARKER</vt:lpstr>
      <vt:lpstr>COLDVSNA_TARIFF_A_COLDVSNA_NUM_DATA_DIFF_COLUMN_MARKER</vt:lpstr>
      <vt:lpstr>COLDVSNA_TARIFF_A_COLDVSNA_NUM_FLAG_DIFF_COLUMN_MARKER</vt:lpstr>
      <vt:lpstr>COLDVSNA_TARIFF_A_COLDVSNA_NUM_GC_COLUMN_MARKER</vt:lpstr>
      <vt:lpstr>COLDVSNA_TARIFF_A_COLDVSNA_NUM_NTAR_COLUMN_MARKER</vt:lpstr>
      <vt:lpstr>COLDVSNA_TARIFF_A_COLDVSNA_NUM_TER_COLUMN_MARKER</vt:lpstr>
      <vt:lpstr>COLDVSNA_TARIFF_B_COLDVSNA_ADD_HL_COLUMN_MARKER</vt:lpstr>
      <vt:lpstr>COLDVSNA_TARIFF_B_COLDVSNA_DEL_HL_DATA_DIFF_COLUMN_MARKER</vt:lpstr>
      <vt:lpstr>COLDVSNA_TARIFF_B_COLDVSNA_DEL_HL_FLAG_DIFF_COLUMN_MARKER</vt:lpstr>
      <vt:lpstr>COLDVSNA_TARIFF_B_COLDVSNA_DEL_HL_GC_COLUMN_MARKER</vt:lpstr>
      <vt:lpstr>COLDVSNA_TARIFF_B_COLDVSNA_DELETE_PERIOD_ROW_MARKER</vt:lpstr>
      <vt:lpstr>COLDVSNA_TARIFF_B_COLDVSNA_FLAG_BLOCK_COLUMN_MARKER</vt:lpstr>
      <vt:lpstr>COLDVSNA_TARIFF_B_COLDVSNA_FLAG_BLOCK_ROW_MARKER</vt:lpstr>
      <vt:lpstr>COLDVSNA_TARIFF_B_COLDVSNA_NUM_CS_COLUMN_MARKER</vt:lpstr>
      <vt:lpstr>COLDVSNA_TARIFF_B_COLDVSNA_NUM_DATA_DIFF_COLUMN_MARKER</vt:lpstr>
      <vt:lpstr>COLDVSNA_TARIFF_B_COLDVSNA_NUM_FLAG_DIFF_COLUMN_MARKER</vt:lpstr>
      <vt:lpstr>COLDVSNA_TARIFF_B_COLDVSNA_NUM_GC_COLUMN_MARKER</vt:lpstr>
      <vt:lpstr>COLDVSNA_TARIFF_B_COLDVSNA_NUM_NTAR_COLUMN_MARKER</vt:lpstr>
      <vt:lpstr>COLDVSNA_TARIFF_B_COLDVSNA_NUM_TER_COLUMN_MARKER</vt:lpstr>
      <vt:lpstr>COLDVSNA_TARIFF_C_COLDVSNA_ADD_HL_COLUMN_MARKER</vt:lpstr>
      <vt:lpstr>COLDVSNA_TARIFF_C_COLDVSNA_DEL_HL_DATA_DIFF_COLUMN_MARKER</vt:lpstr>
      <vt:lpstr>COLDVSNA_TARIFF_C_COLDVSNA_DEL_HL_FLAG_DIFF_COLUMN_MARKER</vt:lpstr>
      <vt:lpstr>COLDVSNA_TARIFF_C_COLDVSNA_DEL_HL_GC_COLUMN_MARKER</vt:lpstr>
      <vt:lpstr>COLDVSNA_TARIFF_C_COLDVSNA_DELETE_PERIOD_ROW_MARKER</vt:lpstr>
      <vt:lpstr>COLDVSNA_TARIFF_C_COLDVSNA_FLAG_BLOCK_COLUMN_MARKER</vt:lpstr>
      <vt:lpstr>COLDVSNA_TARIFF_C_COLDVSNA_FLAG_BLOCK_ROW_MARKER</vt:lpstr>
      <vt:lpstr>COLDVSNA_TARIFF_C_COLDVSNA_NUM_CS_COLUMN_MARKER</vt:lpstr>
      <vt:lpstr>COLDVSNA_TARIFF_C_COLDVSNA_NUM_DATA_DIFF_COLUMN_MARKER</vt:lpstr>
      <vt:lpstr>COLDVSNA_TARIFF_C_COLDVSNA_NUM_FLAG_DIFF_COLUMN_MARKER</vt:lpstr>
      <vt:lpstr>COLDVSNA_TARIFF_C_COLDVSNA_NUM_GC_COLUMN_MARKER</vt:lpstr>
      <vt:lpstr>COLDVSNA_TARIFF_C_COLDVSNA_NUM_NTAR_COLUMN_MARKER</vt:lpstr>
      <vt:lpstr>COLDVSNA_TARIFF_C_COLDVSNA_NUM_TER_COLUMN_MARKER</vt:lpstr>
      <vt:lpstr>COLDVSNA_TARIFF_D_COLDVSNA_ADD_HL_COLUMN_MARKER</vt:lpstr>
      <vt:lpstr>COLDVSNA_TARIFF_D_COLDVSNA_DEL_HL_DATA_DIFF_COLUMN_MARKER</vt:lpstr>
      <vt:lpstr>COLDVSNA_TARIFF_D_COLDVSNA_DEL_HL_FLAG_DIFF_COLUMN_MARKER</vt:lpstr>
      <vt:lpstr>COLDVSNA_TARIFF_D_COLDVSNA_DEL_HL_GC_COLUMN_MARKER</vt:lpstr>
      <vt:lpstr>COLDVSNA_TARIFF_D_COLDVSNA_DELETE_PERIOD_ROW_MARKER</vt:lpstr>
      <vt:lpstr>COLDVSNA_TARIFF_D_COLDVSNA_FLAG_BLOCK_COLUMN_MARKER</vt:lpstr>
      <vt:lpstr>COLDVSNA_TARIFF_D_COLDVSNA_FLAG_BLOCK_ROW_MARKER</vt:lpstr>
      <vt:lpstr>COLDVSNA_TARIFF_D_COLDVSNA_NUM_CS_COLUMN_MARKER</vt:lpstr>
      <vt:lpstr>COLDVSNA_TARIFF_D_COLDVSNA_NUM_DATA_DIFF_COLUMN_MARKER</vt:lpstr>
      <vt:lpstr>COLDVSNA_TARIFF_D_COLDVSNA_NUM_FLAG_DIFF_COLUMN_MARKER</vt:lpstr>
      <vt:lpstr>COLDVSNA_TARIFF_D_COLDVSNA_NUM_GC_COLUMN_MARKER</vt:lpstr>
      <vt:lpstr>COLDVSNA_TARIFF_D_COLDVSNA_NUM_NTAR_COLUMN_MARKER</vt:lpstr>
      <vt:lpstr>COLDVSNA_TARIFF_D_COLDVSNA_NUM_TER_COLUMN_MARKER</vt:lpstr>
      <vt:lpstr>COLDVSNA_TARIFF_E_COLDVSNA_ADD_HL_COLUMN_MARKER</vt:lpstr>
      <vt:lpstr>COLDVSNA_TARIFF_E_COLDVSNA_ADD_HL_DIAMETERS_COLUMN_MARKER</vt:lpstr>
      <vt:lpstr>COLDVSNA_TARIFF_E_COLDVSNA_ADD_HL_LEN_COLUMN_MARKER</vt:lpstr>
      <vt:lpstr>COLDVSNA_TARIFF_E_COLDVSNA_ADD_HL_LOAD_COLUMN_MARKER</vt:lpstr>
      <vt:lpstr>COLDVSNA_TARIFF_E_COLDVSNA_ADD_HL_NETS_COLUMN_MARKER</vt:lpstr>
      <vt:lpstr>COLDVSNA_TARIFF_E_COLDVSNA_DEL_HL_DATA_DIFF_COLUMN_MARKER</vt:lpstr>
      <vt:lpstr>COLDVSNA_TARIFF_E_COLDVSNA_DEL_HL_DIAMETERS_COLUMN_MARKER</vt:lpstr>
      <vt:lpstr>COLDVSNA_TARIFF_E_COLDVSNA_DEL_HL_FLAG_DIFF_COLUMN_MARKER</vt:lpstr>
      <vt:lpstr>COLDVSNA_TARIFF_E_COLDVSNA_DEL_HL_GC_COLUMN_MARKER</vt:lpstr>
      <vt:lpstr>COLDVSNA_TARIFF_E_COLDVSNA_DEL_HL_LEN_COLUMN_MARKER</vt:lpstr>
      <vt:lpstr>COLDVSNA_TARIFF_E_COLDVSNA_DEL_HL_LOAD_COLUMN_MARKER</vt:lpstr>
      <vt:lpstr>COLDVSNA_TARIFF_E_COLDVSNA_DEL_HL_NETS_COLUMN_MARKER</vt:lpstr>
      <vt:lpstr>COLDVSNA_TARIFF_E_COLDVSNA_DELETE_PERIOD_ROW_MARKER</vt:lpstr>
      <vt:lpstr>COLDVSNA_TARIFF_E_COLDVSNA_FLAG_BLOCK_COLUMN_MARKER</vt:lpstr>
      <vt:lpstr>COLDVSNA_TARIFF_E_COLDVSNA_FLAG_BLOCK_ROW_MARKER</vt:lpstr>
      <vt:lpstr>COLDVSNA_TARIFF_E_COLDVSNA_NUM_CS_COLUMN_MARKER</vt:lpstr>
      <vt:lpstr>COLDVSNA_TARIFF_E_COLDVSNA_NUM_DATA_DIFF_COLUMN_MARKER</vt:lpstr>
      <vt:lpstr>COLDVSNA_TARIFF_E_COLDVSNA_NUM_DIAMETERS_COLUMN_MARKER</vt:lpstr>
      <vt:lpstr>COLDVSNA_TARIFF_E_COLDVSNA_NUM_FLAG_DIFF_COLUMN_MARKER</vt:lpstr>
      <vt:lpstr>COLDVSNA_TARIFF_E_COLDVSNA_NUM_GC_COLUMN_MARKER</vt:lpstr>
      <vt:lpstr>COLDVSNA_TARIFF_E_COLDVSNA_NUM_LEN_COLUMN_MARKER</vt:lpstr>
      <vt:lpstr>COLDVSNA_TARIFF_E_COLDVSNA_NUM_LOAD_COLUMN_MARKER</vt:lpstr>
      <vt:lpstr>COLDVSNA_TARIFF_E_COLDVSNA_NUM_NETS_COLUMN_MARKER</vt:lpstr>
      <vt:lpstr>COLDVSNA_TARIFF_E_COLDVSNA_NUM_NTAR_COLUMN_MARKER</vt:lpstr>
      <vt:lpstr>COLDVSNA_TARIFF_E_COLDVSNA_NUM_TER_COLUMN_MARKER</vt:lpstr>
      <vt:lpstr>cross_without_borders</vt:lpstr>
      <vt:lpstr>CS_ID</vt:lpstr>
      <vt:lpstr>CURRENT_DATE</vt:lpstr>
      <vt:lpstr>CURRENT_YEAR</vt:lpstr>
      <vt:lpstr>DATA_URL</vt:lpstr>
      <vt:lpstr>DESCRIPTION_TERRITORY</vt:lpstr>
      <vt:lpstr>DIFFERENTIATION_AREA</vt:lpstr>
      <vt:lpstr>DIFFERENTIATION_AREA_ID</vt:lpstr>
      <vt:lpstr>DIFFERENTIATION_CheckC</vt:lpstr>
      <vt:lpstr>DIFFERENTIATION_fieldMarker</vt:lpstr>
      <vt:lpstr>DIFFERENTIATION_ID</vt:lpstr>
      <vt:lpstr>DIFFERENTIATION_ID_DIFF</vt:lpstr>
      <vt:lpstr>DIFFERENTIATION_SYSTEM</vt:lpstr>
      <vt:lpstr>DIFFERENTIATION_TARIFF_AREA_ID</vt:lpstr>
      <vt:lpstr>DIFFERENTIATION_TARIFF_VD_ID</vt:lpstr>
      <vt:lpstr>DIFFERENTIATION_TARIFF_VTAR_ID</vt:lpstr>
      <vt:lpstr>DIFFERENTIATION_TKO_ADD_HL_CLASS_TKO_COLUMN_MARKER</vt:lpstr>
      <vt:lpstr>DIFFERENTIATION_TKO_ADD_HL_NTAR_COLUMN_MARKER</vt:lpstr>
      <vt:lpstr>DIFFERENTIATION_TKO_ADD_HL_TER_COLUMN_MARKER</vt:lpstr>
      <vt:lpstr>DIFFERENTIATION_TKO_ADD_HL_TO_COLUMN_MARKER</vt:lpstr>
      <vt:lpstr>DIFFERENTIATION_TKO_ADD_HL_TYPE_TKO_COLUMN_MARKER</vt:lpstr>
      <vt:lpstr>DIFFERENTIATION_TKO_ADD_HL_VTAR_COLUMN_MARKER</vt:lpstr>
      <vt:lpstr>DIFFERENTIATION_TKO_AREA_ID</vt:lpstr>
      <vt:lpstr>DIFFERENTIATION_TKO_DEL_HL_CLASS_TKO_COLUMN_MARKER</vt:lpstr>
      <vt:lpstr>DIFFERENTIATION_TKO_DEL_HL_NTAR_COLUMN_MARKER</vt:lpstr>
      <vt:lpstr>DIFFERENTIATION_TKO_DEL_HL_TER_COLUMN_MARKER</vt:lpstr>
      <vt:lpstr>DIFFERENTIATION_TKO_DEL_HL_TO_COLUMN_MARKER</vt:lpstr>
      <vt:lpstr>DIFFERENTIATION_TKO_DEL_HL_TYPE_TKO_COLUMN_MARKER</vt:lpstr>
      <vt:lpstr>DIFFERENTIATION_TKO_FLAG_DIFF_CLASS_TKO_ETC_COLUMN_MARKER</vt:lpstr>
      <vt:lpstr>DIFFERENTIATION_TKO_FLAG_DIFF_CLASS_TKO_TARIFF_COLUMN_MARKER</vt:lpstr>
      <vt:lpstr>DIFFERENTIATION_TKO_FLAG_DIFF_TER_ETC_COLUMN_MARKER</vt:lpstr>
      <vt:lpstr>DIFFERENTIATION_TKO_FLAG_DIFF_TER_TARIFF_COLUMN_MARKER</vt:lpstr>
      <vt:lpstr>DIFFERENTIATION_TKO_FLAG_DIFF_TO_ETC_COLUMN_MARKER</vt:lpstr>
      <vt:lpstr>DIFFERENTIATION_TKO_FLAG_DIFF_TO_TARIFF_COLUMN_MARKER</vt:lpstr>
      <vt:lpstr>DIFFERENTIATION_TKO_FLAG_DIFF_TYPE_TKO_ETC_COLUMN_MARKER</vt:lpstr>
      <vt:lpstr>DIFFERENTIATION_TKO_FLAG_DIFF_TYPE_TKO_TARIFF_COLUMN_MARKER</vt:lpstr>
      <vt:lpstr>DIFFERENTIATION_TKO_FLAG_VTAR_COLUMN_MARKER</vt:lpstr>
      <vt:lpstr>DIFFERENTIATION_TKO_TER_ID</vt:lpstr>
      <vt:lpstr>DIFFERENTIATION_UNMERGE_AREA</vt:lpstr>
      <vt:lpstr>DIFFERENTIATION_UNMERGE_SYSTEM</vt:lpstr>
      <vt:lpstr>DIFFERENTIATION_UNMERGE_VD</vt:lpstr>
      <vt:lpstr>DIFFERENTIATION_VD</vt:lpstr>
      <vt:lpstr>DIFFERENTIATION_VD_ID</vt:lpstr>
      <vt:lpstr>ED_DATE</vt:lpstr>
      <vt:lpstr>ED_DATE_PARKING</vt:lpstr>
      <vt:lpstr>ED_LINK</vt:lpstr>
      <vt:lpstr>EndDateList</vt:lpstr>
      <vt:lpstr>et_B_FHD20_1</vt:lpstr>
      <vt:lpstr>et_B_FHD20_1_HEAT</vt:lpstr>
      <vt:lpstr>et_B_FHD20_1_NOT_HEAT</vt:lpstr>
      <vt:lpstr>et_B_FHD20_2</vt:lpstr>
      <vt:lpstr>et_B_FHD20_3</vt:lpstr>
      <vt:lpstr>et_B_FHD20_4</vt:lpstr>
      <vt:lpstr>et_B_STANDARTS</vt:lpstr>
      <vt:lpstr>et_CHANGE_INFO</vt:lpstr>
      <vt:lpstr>et_COLDVSNA_TARIFF_A_COLDVSNA_CS</vt:lpstr>
      <vt:lpstr>et_COLDVSNA_TARIFF_A_COLDVSNA_DATA_DIFF</vt:lpstr>
      <vt:lpstr>et_COLDVSNA_TARIFF_A_COLDVSNA_FLAG_DIFF</vt:lpstr>
      <vt:lpstr>et_COLDVSNA_TARIFF_A_COLDVSNA_GC</vt:lpstr>
      <vt:lpstr>et_COLDVSNA_TARIFF_A_COLDVSNA_NTAR</vt:lpstr>
      <vt:lpstr>et_COLDVSNA_TARIFF_A_COLDVSNA_PERIOD_COLOR</vt:lpstr>
      <vt:lpstr>et_COLDVSNA_TARIFF_A_COLDVSNA_PERIOD_NOT_COLOR</vt:lpstr>
      <vt:lpstr>et_COLDVSNA_TARIFF_A_COLDVSNA_TER</vt:lpstr>
      <vt:lpstr>et_COLDVSNA_TARIFF_A_COLDVSNA_TN</vt:lpstr>
      <vt:lpstr>et_COLDVSNA_TARIFF_B_COLDVSNA_CS</vt:lpstr>
      <vt:lpstr>et_COLDVSNA_TARIFF_B_COLDVSNA_DATA_DIFF</vt:lpstr>
      <vt:lpstr>et_COLDVSNA_TARIFF_B_COLDVSNA_FLAG_DIFF</vt:lpstr>
      <vt:lpstr>et_COLDVSNA_TARIFF_B_COLDVSNA_GC</vt:lpstr>
      <vt:lpstr>et_COLDVSNA_TARIFF_B_COLDVSNA_NTAR</vt:lpstr>
      <vt:lpstr>et_COLDVSNA_TARIFF_B_COLDVSNA_PERIOD_COLOR</vt:lpstr>
      <vt:lpstr>et_COLDVSNA_TARIFF_B_COLDVSNA_PERIOD_NOT_COLOR</vt:lpstr>
      <vt:lpstr>et_COLDVSNA_TARIFF_B_COLDVSNA_TER</vt:lpstr>
      <vt:lpstr>et_COLDVSNA_TARIFF_C_COLDVSNA_CS</vt:lpstr>
      <vt:lpstr>et_COLDVSNA_TARIFF_C_COLDVSNA_DATA_DIFF</vt:lpstr>
      <vt:lpstr>et_COLDVSNA_TARIFF_C_COLDVSNA_FLAG_DIFF</vt:lpstr>
      <vt:lpstr>et_COLDVSNA_TARIFF_C_COLDVSNA_GC</vt:lpstr>
      <vt:lpstr>et_COLDVSNA_TARIFF_C_COLDVSNA_NTAR</vt:lpstr>
      <vt:lpstr>et_COLDVSNA_TARIFF_C_COLDVSNA_PERIOD_COLOR</vt:lpstr>
      <vt:lpstr>et_COLDVSNA_TARIFF_C_COLDVSNA_PERIOD_NOT_COLOR</vt:lpstr>
      <vt:lpstr>et_COLDVSNA_TARIFF_C_COLDVSNA_TER</vt:lpstr>
      <vt:lpstr>et_COLDVSNA_TARIFF_D_COLDVSNA_CS</vt:lpstr>
      <vt:lpstr>et_COLDVSNA_TARIFF_D_COLDVSNA_DATA_DIFF</vt:lpstr>
      <vt:lpstr>et_COLDVSNA_TARIFF_D_COLDVSNA_FLAG_DIFF</vt:lpstr>
      <vt:lpstr>et_COLDVSNA_TARIFF_D_COLDVSNA_GC</vt:lpstr>
      <vt:lpstr>et_COLDVSNA_TARIFF_D_COLDVSNA_NTAR</vt:lpstr>
      <vt:lpstr>et_COLDVSNA_TARIFF_D_COLDVSNA_PERIOD_COLOR</vt:lpstr>
      <vt:lpstr>et_COLDVSNA_TARIFF_D_COLDVSNA_PERIOD_NOT_COLOR</vt:lpstr>
      <vt:lpstr>et_COLDVSNA_TARIFF_D_COLDVSNA_TER</vt:lpstr>
      <vt:lpstr>et_COLDVSNA_TARIFF_E_COLDVSNA_CS</vt:lpstr>
      <vt:lpstr>et_COLDVSNA_TARIFF_E_COLDVSNA_DATA_DIFF</vt:lpstr>
      <vt:lpstr>et_COLDVSNA_TARIFF_E_COLDVSNA_DIAMETERS</vt:lpstr>
      <vt:lpstr>et_COLDVSNA_TARIFF_E_COLDVSNA_FLAG_DIFF</vt:lpstr>
      <vt:lpstr>et_COLDVSNA_TARIFF_E_COLDVSNA_GC</vt:lpstr>
      <vt:lpstr>et_COLDVSNA_TARIFF_E_COLDVSNA_LEN</vt:lpstr>
      <vt:lpstr>et_COLDVSNA_TARIFF_E_COLDVSNA_LOAD</vt:lpstr>
      <vt:lpstr>et_COLDVSNA_TARIFF_E_COLDVSNA_NETS</vt:lpstr>
      <vt:lpstr>et_COLDVSNA_TARIFF_E_COLDVSNA_NTAR</vt:lpstr>
      <vt:lpstr>et_COLDVSNA_TARIFF_E_COLDVSNA_PERIOD_COLOR</vt:lpstr>
      <vt:lpstr>et_COLDVSNA_TARIFF_E_COLDVSNA_PERIOD_NOT_COLOR</vt:lpstr>
      <vt:lpstr>et_COLDVSNA_TARIFF_E_COLDVSNA_TER</vt:lpstr>
      <vt:lpstr>et_Comm</vt:lpstr>
      <vt:lpstr>et_DIFFERENTIATION_AREA</vt:lpstr>
      <vt:lpstr>et_DIFFERENTIATION_SYSTEM</vt:lpstr>
      <vt:lpstr>et_DIFFERENTIATION_TARIFF_COLOR</vt:lpstr>
      <vt:lpstr>et_DIFFERENTIATION_TARIFF_CS</vt:lpstr>
      <vt:lpstr>et_DIFFERENTIATION_TARIFF_IST_TE</vt:lpstr>
      <vt:lpstr>et_DIFFERENTIATION_TARIFF_NOT_COLOR</vt:lpstr>
      <vt:lpstr>et_DIFFERENTIATION_TARIFF_NOT_HEAT_COLOR</vt:lpstr>
      <vt:lpstr>et_DIFFERENTIATION_TARIFF_NOT_HEAT_CS</vt:lpstr>
      <vt:lpstr>et_DIFFERENTIATION_TARIFF_NOT_HEAT_NTAR</vt:lpstr>
      <vt:lpstr>et_DIFFERENTIATION_TARIFF_NOT_HEAT_TER</vt:lpstr>
      <vt:lpstr>et_DIFFERENTIATION_TARIFF_NOT_HEAT_VTAR</vt:lpstr>
      <vt:lpstr>et_DIFFERENTIATION_TARIFF_NTAR</vt:lpstr>
      <vt:lpstr>et_DIFFERENTIATION_TARIFF_TER</vt:lpstr>
      <vt:lpstr>et_DIFFERENTIATION_TARIFF_VTAR</vt:lpstr>
      <vt:lpstr>et_DIFFERENTIATION_TKO_CLASS_TKO</vt:lpstr>
      <vt:lpstr>et_DIFFERENTIATION_TKO_COLOR</vt:lpstr>
      <vt:lpstr>et_DIFFERENTIATION_TKO_NOT_COLOR</vt:lpstr>
      <vt:lpstr>et_DIFFERENTIATION_TKO_NTAR</vt:lpstr>
      <vt:lpstr>et_DIFFERENTIATION_TKO_TER</vt:lpstr>
      <vt:lpstr>et_DIFFERENTIATION_TKO_TO</vt:lpstr>
      <vt:lpstr>et_DIFFERENTIATION_TKO_TYPE_TKO</vt:lpstr>
      <vt:lpstr>et_DIFFERENTIATION_TKO_VTAR</vt:lpstr>
      <vt:lpstr>et_DIFFERENTIATION_VD</vt:lpstr>
      <vt:lpstr>et_ED</vt:lpstr>
      <vt:lpstr>et_HEAT_TARIFF_A_CS</vt:lpstr>
      <vt:lpstr>et_HEAT_TARIFF_A_GC</vt:lpstr>
      <vt:lpstr>et_HEAT_TARIFF_A_IST_TE</vt:lpstr>
      <vt:lpstr>et_HEAT_TARIFF_A_NTAR</vt:lpstr>
      <vt:lpstr>et_HEAT_TARIFF_A_PERIOD_COLOR</vt:lpstr>
      <vt:lpstr>et_HEAT_TARIFF_A_PERIOD_NOT_COLOR</vt:lpstr>
      <vt:lpstr>et_HEAT_TARIFF_A_SCHEME</vt:lpstr>
      <vt:lpstr>et_HEAT_TARIFF_A_TER</vt:lpstr>
      <vt:lpstr>et_HEAT_TARIFF_A_TN</vt:lpstr>
      <vt:lpstr>et_HEAT_TARIFF_B_CS</vt:lpstr>
      <vt:lpstr>et_HEAT_TARIFF_B_GC</vt:lpstr>
      <vt:lpstr>et_HEAT_TARIFF_B_IST_TE</vt:lpstr>
      <vt:lpstr>et_HEAT_TARIFF_B_NTAR</vt:lpstr>
      <vt:lpstr>et_HEAT_TARIFF_B_PERIOD_COLOR</vt:lpstr>
      <vt:lpstr>et_HEAT_TARIFF_B_PERIOD_NOT_COLOR</vt:lpstr>
      <vt:lpstr>et_HEAT_TARIFF_B_SCHEME</vt:lpstr>
      <vt:lpstr>et_HEAT_TARIFF_B_TER</vt:lpstr>
      <vt:lpstr>et_HEAT_TARIFF_B_TN</vt:lpstr>
      <vt:lpstr>et_HEAT_TARIFF_C_CS</vt:lpstr>
      <vt:lpstr>et_HEAT_TARIFF_C_GC</vt:lpstr>
      <vt:lpstr>et_HEAT_TARIFF_C_IST_TE</vt:lpstr>
      <vt:lpstr>et_HEAT_TARIFF_C_NTAR</vt:lpstr>
      <vt:lpstr>et_HEAT_TARIFF_C_PERIOD_COLOR</vt:lpstr>
      <vt:lpstr>et_HEAT_TARIFF_C_PERIOD_NOT_COLOR</vt:lpstr>
      <vt:lpstr>et_HEAT_TARIFF_C_SCHEME</vt:lpstr>
      <vt:lpstr>et_HEAT_TARIFF_C_TER</vt:lpstr>
      <vt:lpstr>et_HEAT_TARIFF_C_TN</vt:lpstr>
      <vt:lpstr>et_HEAT_TARIFF_D_CONS</vt:lpstr>
      <vt:lpstr>et_HEAT_TARIFF_D_CS</vt:lpstr>
      <vt:lpstr>et_HEAT_TARIFF_D_GC</vt:lpstr>
      <vt:lpstr>et_HEAT_TARIFF_D_IST_TE</vt:lpstr>
      <vt:lpstr>et_HEAT_TARIFF_D_NTAR</vt:lpstr>
      <vt:lpstr>et_HEAT_TARIFF_D_PERIOD_COLOR</vt:lpstr>
      <vt:lpstr>et_HEAT_TARIFF_D_PERIOD_NOT_COLOR</vt:lpstr>
      <vt:lpstr>et_HEAT_TARIFF_D_SCHEME</vt:lpstr>
      <vt:lpstr>et_HEAT_TARIFF_D_TER</vt:lpstr>
      <vt:lpstr>et_HEAT_TARIFF_D_TN</vt:lpstr>
      <vt:lpstr>et_HEAT_TARIFF_E1_CS</vt:lpstr>
      <vt:lpstr>et_HEAT_TARIFF_E1_GC</vt:lpstr>
      <vt:lpstr>et_HEAT_TARIFF_E1_IST_TE</vt:lpstr>
      <vt:lpstr>et_HEAT_TARIFF_E1_NTAR</vt:lpstr>
      <vt:lpstr>et_HEAT_TARIFF_E1_PERIOD_COLOR</vt:lpstr>
      <vt:lpstr>et_HEAT_TARIFF_E1_PERIOD_NOT_COLOR</vt:lpstr>
      <vt:lpstr>et_HEAT_TARIFF_E1_SCHEME</vt:lpstr>
      <vt:lpstr>et_HEAT_TARIFF_E1_TER</vt:lpstr>
      <vt:lpstr>et_HEAT_TARIFF_E1_TN</vt:lpstr>
      <vt:lpstr>et_HEAT_TARIFF_E2_CS</vt:lpstr>
      <vt:lpstr>et_HEAT_TARIFF_E2_GC</vt:lpstr>
      <vt:lpstr>et_HEAT_TARIFF_E2_IST_TE</vt:lpstr>
      <vt:lpstr>et_HEAT_TARIFF_E2_NTAR</vt:lpstr>
      <vt:lpstr>et_HEAT_TARIFF_E2_PERIOD_COLOR</vt:lpstr>
      <vt:lpstr>et_HEAT_TARIFF_E2_PERIOD_NOT_COLOR</vt:lpstr>
      <vt:lpstr>et_HEAT_TARIFF_E2_SCHEME</vt:lpstr>
      <vt:lpstr>et_HEAT_TARIFF_E2_TER</vt:lpstr>
      <vt:lpstr>et_HEAT_TARIFF_E2_TN</vt:lpstr>
      <vt:lpstr>et_HEAT_TARIFF_F_CS</vt:lpstr>
      <vt:lpstr>et_HEAT_TARIFF_F_GC</vt:lpstr>
      <vt:lpstr>et_HEAT_TARIFF_F_IST_TE</vt:lpstr>
      <vt:lpstr>et_HEAT_TARIFF_F_NTAR</vt:lpstr>
      <vt:lpstr>et_HEAT_TARIFF_F_PERIOD_COLOR</vt:lpstr>
      <vt:lpstr>et_HEAT_TARIFF_F_PERIOD_NOT_COLOR</vt:lpstr>
      <vt:lpstr>et_HEAT_TARIFF_F_SCHEME</vt:lpstr>
      <vt:lpstr>et_HEAT_TARIFF_F_TER</vt:lpstr>
      <vt:lpstr>et_HEAT_TARIFF_F_TN</vt:lpstr>
      <vt:lpstr>et_HEAT_TARIFF_G_CS</vt:lpstr>
      <vt:lpstr>et_HEAT_TARIFF_G_DIAMETERS</vt:lpstr>
      <vt:lpstr>et_HEAT_TARIFF_G_GC</vt:lpstr>
      <vt:lpstr>et_HEAT_TARIFF_G_IST_TE</vt:lpstr>
      <vt:lpstr>et_HEAT_TARIFF_G_LOAD</vt:lpstr>
      <vt:lpstr>et_HEAT_TARIFF_G_NETS</vt:lpstr>
      <vt:lpstr>et_HEAT_TARIFF_G_NTAR</vt:lpstr>
      <vt:lpstr>et_HEAT_TARIFF_G_PERIOD_COLOR</vt:lpstr>
      <vt:lpstr>et_HEAT_TARIFF_G_PERIOD_NOT_COLOR</vt:lpstr>
      <vt:lpstr>et_HEAT_TARIFF_G_SCHEME</vt:lpstr>
      <vt:lpstr>et_HEAT_TARIFF_G_TER</vt:lpstr>
      <vt:lpstr>et_HEAT_TARIFF_G_TN</vt:lpstr>
      <vt:lpstr>et_HEAT_TARIFF_H_CS</vt:lpstr>
      <vt:lpstr>et_HEAT_TARIFF_H_DIAMETERS</vt:lpstr>
      <vt:lpstr>et_HEAT_TARIFF_H_GC</vt:lpstr>
      <vt:lpstr>et_HEAT_TARIFF_H_IST_TE</vt:lpstr>
      <vt:lpstr>et_HEAT_TARIFF_H_LOAD</vt:lpstr>
      <vt:lpstr>et_HEAT_TARIFF_H_NETS</vt:lpstr>
      <vt:lpstr>et_HEAT_TARIFF_H_NTAR</vt:lpstr>
      <vt:lpstr>et_HEAT_TARIFF_H_PERIOD_COLOR</vt:lpstr>
      <vt:lpstr>et_HEAT_TARIFF_H_PERIOD_NOT_COLOR</vt:lpstr>
      <vt:lpstr>et_HEAT_TARIFF_H_SCHEME</vt:lpstr>
      <vt:lpstr>et_HEAT_TARIFF_H_TER</vt:lpstr>
      <vt:lpstr>et_HEAT_TARIFF_H_TN</vt:lpstr>
      <vt:lpstr>et_HEAT_TARIFF_I_1_CS</vt:lpstr>
      <vt:lpstr>et_HEAT_TARIFF_I_1_GC</vt:lpstr>
      <vt:lpstr>et_HEAT_TARIFF_I_1_IST_TE</vt:lpstr>
      <vt:lpstr>et_HEAT_TARIFF_I_1_NTAR</vt:lpstr>
      <vt:lpstr>et_HEAT_TARIFF_I_1_PERIOD_COLOR</vt:lpstr>
      <vt:lpstr>et_HEAT_TARIFF_I_1_PERIOD_NOT_COLOR</vt:lpstr>
      <vt:lpstr>et_HEAT_TARIFF_I_1_SCHEME</vt:lpstr>
      <vt:lpstr>et_HEAT_TARIFF_I_1_TER</vt:lpstr>
      <vt:lpstr>et_HEAT_TARIFF_I_1_TN</vt:lpstr>
      <vt:lpstr>et_HEAT_TARIFF_I_CS</vt:lpstr>
      <vt:lpstr>et_HEAT_TARIFF_I_GC</vt:lpstr>
      <vt:lpstr>et_HEAT_TARIFF_I_IST_TE</vt:lpstr>
      <vt:lpstr>et_HEAT_TARIFF_I_NTAR</vt:lpstr>
      <vt:lpstr>et_HEAT_TARIFF_I_PERIOD_COLOR</vt:lpstr>
      <vt:lpstr>et_HEAT_TARIFF_I_PERIOD_NOT_COLOR</vt:lpstr>
      <vt:lpstr>et_HEAT_TARIFF_I_SCHEME</vt:lpstr>
      <vt:lpstr>et_HEAT_TARIFF_I_TER</vt:lpstr>
      <vt:lpstr>et_HEAT_TARIFF_I_TN</vt:lpstr>
      <vt:lpstr>et_hor_B_FHD_1</vt:lpstr>
      <vt:lpstr>et_hor_B_FHD_2</vt:lpstr>
      <vt:lpstr>et_hor_B_FHD_3</vt:lpstr>
      <vt:lpstr>et_hor_B_FHD_4</vt:lpstr>
      <vt:lpstr>et_hor_B_FHD_5</vt:lpstr>
      <vt:lpstr>et_hor_B_FHD_6</vt:lpstr>
      <vt:lpstr>et_hor_B_FHD_TKO_2</vt:lpstr>
      <vt:lpstr>et_hor_B_FHD_TKO_TRANS_2</vt:lpstr>
      <vt:lpstr>et_hor_B_OTEP_2</vt:lpstr>
      <vt:lpstr>et_hor_Q_LIMIT_1</vt:lpstr>
      <vt:lpstr>et_hor_Q_LIMIT_2</vt:lpstr>
      <vt:lpstr>et_hor_Q_LIMIT_3</vt:lpstr>
      <vt:lpstr>et_hor_Q_LIMIT_4</vt:lpstr>
      <vt:lpstr>et_hor_Q_TP_1</vt:lpstr>
      <vt:lpstr>et_HOTVSNA_TARIFF_A_HOTVSNA_CS</vt:lpstr>
      <vt:lpstr>et_HOTVSNA_TARIFF_A_HOTVSNA_DATA_DIFF</vt:lpstr>
      <vt:lpstr>et_HOTVSNA_TARIFF_A_HOTVSNA_FLAG_DIFF</vt:lpstr>
      <vt:lpstr>et_HOTVSNA_TARIFF_A_HOTVSNA_GC</vt:lpstr>
      <vt:lpstr>et_HOTVSNA_TARIFF_A_HOTVSNA_NTAR</vt:lpstr>
      <vt:lpstr>et_HOTVSNA_TARIFF_A_HOTVSNA_PERIOD_COLOR</vt:lpstr>
      <vt:lpstr>et_HOTVSNA_TARIFF_A_HOTVSNA_PERIOD_NOT_COLOR</vt:lpstr>
      <vt:lpstr>et_HOTVSNA_TARIFF_A_HOTVSNA_TER</vt:lpstr>
      <vt:lpstr>et_HOTVSNA_TARIFF_A_HOTVSNA_TN</vt:lpstr>
      <vt:lpstr>et_HOTVSNA_TARIFF_B_HOTVSNA_CS</vt:lpstr>
      <vt:lpstr>et_HOTVSNA_TARIFF_B_HOTVSNA_DATA_DIFF</vt:lpstr>
      <vt:lpstr>et_HOTVSNA_TARIFF_B_HOTVSNA_FLAG_DIFF</vt:lpstr>
      <vt:lpstr>et_HOTVSNA_TARIFF_B_HOTVSNA_GC</vt:lpstr>
      <vt:lpstr>et_HOTVSNA_TARIFF_B_HOTVSNA_NTAR</vt:lpstr>
      <vt:lpstr>et_HOTVSNA_TARIFF_B_HOTVSNA_PERIOD_COLOR</vt:lpstr>
      <vt:lpstr>et_HOTVSNA_TARIFF_B_HOTVSNA_PERIOD_NOT_COLOR</vt:lpstr>
      <vt:lpstr>et_HOTVSNA_TARIFF_B_HOTVSNA_TER</vt:lpstr>
      <vt:lpstr>et_HOTVSNA_TARIFF_B_HOTVSNA_TN</vt:lpstr>
      <vt:lpstr>et_HOTVSNA_TARIFF_C_HOTVSNA_CS</vt:lpstr>
      <vt:lpstr>et_HOTVSNA_TARIFF_C_HOTVSNA_DATA_DIFF</vt:lpstr>
      <vt:lpstr>et_HOTVSNA_TARIFF_C_HOTVSNA_DIAMETERS</vt:lpstr>
      <vt:lpstr>et_HOTVSNA_TARIFF_C_HOTVSNA_FLAG_DIFF</vt:lpstr>
      <vt:lpstr>et_HOTVSNA_TARIFF_C_HOTVSNA_GC</vt:lpstr>
      <vt:lpstr>et_HOTVSNA_TARIFF_C_HOTVSNA_LEN</vt:lpstr>
      <vt:lpstr>et_HOTVSNA_TARIFF_C_HOTVSNA_LOAD</vt:lpstr>
      <vt:lpstr>et_HOTVSNA_TARIFF_C_HOTVSNA_NETS</vt:lpstr>
      <vt:lpstr>et_HOTVSNA_TARIFF_C_HOTVSNA_NTAR</vt:lpstr>
      <vt:lpstr>et_HOTVSNA_TARIFF_C_HOTVSNA_PERIOD_COLOR</vt:lpstr>
      <vt:lpstr>et_HOTVSNA_TARIFF_C_HOTVSNA_PERIOD_NOT_COLOR</vt:lpstr>
      <vt:lpstr>et_HOTVSNA_TARIFF_C_HOTVSNA_TER</vt:lpstr>
      <vt:lpstr>et_IP_DETAILED</vt:lpstr>
      <vt:lpstr>et_IP_DETAILED_EVENT</vt:lpstr>
      <vt:lpstr>et_IP_DETAILED_IST_FIN</vt:lpstr>
      <vt:lpstr>et_IP_DETAILED_OBJECT</vt:lpstr>
      <vt:lpstr>et_IP_DETAILED_YEAR</vt:lpstr>
      <vt:lpstr>et_IP_MAIN</vt:lpstr>
      <vt:lpstr>et_IP_MAIN_PROPERTY</vt:lpstr>
      <vt:lpstr>et_IP_QRE</vt:lpstr>
      <vt:lpstr>et_IP_QRE_CLAIM</vt:lpstr>
      <vt:lpstr>et_List02</vt:lpstr>
      <vt:lpstr>et_List02_1_wd</vt:lpstr>
      <vt:lpstr>et_List02_2_wd</vt:lpstr>
      <vt:lpstr>et_List02_3_wd</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et_OFFER_p1</vt:lpstr>
      <vt:lpstr>et_OFFER_p1_0</vt:lpstr>
      <vt:lpstr>et_OFFER_p2</vt:lpstr>
      <vt:lpstr>et_OFFER_p2_0</vt:lpstr>
      <vt:lpstr>et_ORG_INFO_1</vt:lpstr>
      <vt:lpstr>et_ORG_INFO_2</vt:lpstr>
      <vt:lpstr>et_ORG_INFO_3</vt:lpstr>
      <vt:lpstr>et_ORG_TERRITORY_MO</vt:lpstr>
      <vt:lpstr>et_ORG_TERRITORY_MO_FLAG_INTERNET</vt:lpstr>
      <vt:lpstr>et_ORG_TERRITORY_MO_LINK</vt:lpstr>
      <vt:lpstr>et_ORG_VD</vt:lpstr>
      <vt:lpstr>et_ORG_VD_COLDVSNA</vt:lpstr>
      <vt:lpstr>et_ORG_VD_FIRST_SYSTEM</vt:lpstr>
      <vt:lpstr>et_ORG_VD_HEAT</vt:lpstr>
      <vt:lpstr>et_ORG_VD_HOTVSNA</vt:lpstr>
      <vt:lpstr>et_ORG_VD_TKO_ACTIVITY</vt:lpstr>
      <vt:lpstr>et_ORG_VD_TKO_TYPE_OBJECT</vt:lpstr>
      <vt:lpstr>et_ORG_VD_VOTV</vt:lpstr>
      <vt:lpstr>et_P_PROCEDURE_TC_1</vt:lpstr>
      <vt:lpstr>et_P_PROCEDURE_TC_2</vt:lpstr>
      <vt:lpstr>et_P_PROCEDURE_TC_3</vt:lpstr>
      <vt:lpstr>et_P_PROCEDURE_TC_4</vt:lpstr>
      <vt:lpstr>et_P_PROCEDURE_TC_5</vt:lpstr>
      <vt:lpstr>et_P_T_TERMS</vt:lpstr>
      <vt:lpstr>et_Q_TP_DIFFERENTIATION</vt:lpstr>
      <vt:lpstr>et_QRE</vt:lpstr>
      <vt:lpstr>et_QRE_CLAIM</vt:lpstr>
      <vt:lpstr>et_R_B_Purch</vt:lpstr>
      <vt:lpstr>et_ROIV_CASE_case</vt:lpstr>
      <vt:lpstr>et_ROIV_CASE_PUC_case</vt:lpstr>
      <vt:lpstr>et_ROIV_INFO_phone</vt:lpstr>
      <vt:lpstr>et_ROIV_ORG_org</vt:lpstr>
      <vt:lpstr>et_ROIV_OTV_DL</vt:lpstr>
      <vt:lpstr>et_ROIV_OTV_org</vt:lpstr>
      <vt:lpstr>et_TERMS</vt:lpstr>
      <vt:lpstr>et_TERRITORY_AREA</vt:lpstr>
      <vt:lpstr>et_TERRITORY_MO</vt:lpstr>
      <vt:lpstr>et_ver_B_FHD_DIFFERENTIATION</vt:lpstr>
      <vt:lpstr>et_ver_B_FHD_TKO_DIFFERENTIATION</vt:lpstr>
      <vt:lpstr>et_ver_B_FHD_TKO_TRANS_DIFFERENTIATION</vt:lpstr>
      <vt:lpstr>et_ver_B_KNE_DIFFERENTIATION</vt:lpstr>
      <vt:lpstr>et_ver_B_OTEP_DIFFERENTIATION</vt:lpstr>
      <vt:lpstr>et_ver_COLDVSNA_TARIFF_A_COLDVSNA</vt:lpstr>
      <vt:lpstr>et_ver_COLDVSNA_TARIFF_B_COLDVSNA</vt:lpstr>
      <vt:lpstr>et_ver_COLDVSNA_TARIFF_C_COLDVSNA</vt:lpstr>
      <vt:lpstr>et_ver_COLDVSNA_TARIFF_D_COLDVSNA</vt:lpstr>
      <vt:lpstr>et_ver_COLDVSNA_TARIFF_E_COLDVSNA</vt:lpstr>
      <vt:lpstr>et_ver_HEAT_TARIFF_A</vt:lpstr>
      <vt:lpstr>et_ver_HEAT_TARIFF_B</vt:lpstr>
      <vt:lpstr>et_ver_HEAT_TARIFF_C</vt:lpstr>
      <vt:lpstr>et_ver_HEAT_TARIFF_D</vt:lpstr>
      <vt:lpstr>et_ver_HEAT_TARIFF_E1</vt:lpstr>
      <vt:lpstr>et_ver_HEAT_TARIFF_E2</vt:lpstr>
      <vt:lpstr>et_ver_HEAT_TARIFF_F</vt:lpstr>
      <vt:lpstr>et_ver_HEAT_TARIFF_G</vt:lpstr>
      <vt:lpstr>et_ver_HEAT_TARIFF_H</vt:lpstr>
      <vt:lpstr>et_ver_HEAT_TARIFF_I</vt:lpstr>
      <vt:lpstr>et_ver_HEAT_TARIFF_I_1</vt:lpstr>
      <vt:lpstr>et_ver_HOTVSNA_TARIFF_A_HOTVSNA</vt:lpstr>
      <vt:lpstr>et_ver_HOTVSNA_TARIFF_B_HOTVSNA</vt:lpstr>
      <vt:lpstr>et_ver_HOTVSNA_TARIFF_C_HOTVSNA</vt:lpstr>
      <vt:lpstr>et_ver_IP_FIN_PLAN</vt:lpstr>
      <vt:lpstr>et_ver_IP_FIN_PLAN_YEAR</vt:lpstr>
      <vt:lpstr>et_ver_Q_LIMIT_DIFFERENTIATION</vt:lpstr>
      <vt:lpstr>et_ver_Q_PH_DIFFERENTIATION</vt:lpstr>
      <vt:lpstr>et_ver_Q_TP_DIFFERENTIATION</vt:lpstr>
      <vt:lpstr>et_ver_VOTV_TARIFF_A_VOTV</vt:lpstr>
      <vt:lpstr>et_ver_VOTV_TARIFF_B_VOTV</vt:lpstr>
      <vt:lpstr>et_ver_VOTV_TARIFF_C_VOTV</vt:lpstr>
      <vt:lpstr>et_VOTV_TARIFF_A_VOTV_CS</vt:lpstr>
      <vt:lpstr>et_VOTV_TARIFF_A_VOTV_DATA_DIFF</vt:lpstr>
      <vt:lpstr>et_VOTV_TARIFF_A_VOTV_FLAG_DIFF</vt:lpstr>
      <vt:lpstr>et_VOTV_TARIFF_A_VOTV_GC</vt:lpstr>
      <vt:lpstr>et_VOTV_TARIFF_A_VOTV_NTAR</vt:lpstr>
      <vt:lpstr>et_VOTV_TARIFF_A_VOTV_PERIOD_COLOR</vt:lpstr>
      <vt:lpstr>et_VOTV_TARIFF_A_VOTV_PERIOD_NOT_COLOR</vt:lpstr>
      <vt:lpstr>et_VOTV_TARIFF_A_VOTV_TER</vt:lpstr>
      <vt:lpstr>et_VOTV_TARIFF_A_VOTV_TN</vt:lpstr>
      <vt:lpstr>et_VOTV_TARIFF_B_VOTV_CS</vt:lpstr>
      <vt:lpstr>et_VOTV_TARIFF_B_VOTV_DATA_DIFF</vt:lpstr>
      <vt:lpstr>et_VOTV_TARIFF_B_VOTV_FLAG_DIFF</vt:lpstr>
      <vt:lpstr>et_VOTV_TARIFF_B_VOTV_GC</vt:lpstr>
      <vt:lpstr>et_VOTV_TARIFF_B_VOTV_NTAR</vt:lpstr>
      <vt:lpstr>et_VOTV_TARIFF_B_VOTV_PERIOD_COLOR</vt:lpstr>
      <vt:lpstr>et_VOTV_TARIFF_B_VOTV_PERIOD_NOT_COLOR</vt:lpstr>
      <vt:lpstr>et_VOTV_TARIFF_B_VOTV_TER</vt:lpstr>
      <vt:lpstr>et_VOTV_TARIFF_B_VOTV_TN</vt:lpstr>
      <vt:lpstr>et_VOTV_TARIFF_C_VOTV_CS</vt:lpstr>
      <vt:lpstr>et_VOTV_TARIFF_C_VOTV_DATA_DIFF</vt:lpstr>
      <vt:lpstr>et_VOTV_TARIFF_C_VOTV_DIAMETERS</vt:lpstr>
      <vt:lpstr>et_VOTV_TARIFF_C_VOTV_FLAG_DIFF</vt:lpstr>
      <vt:lpstr>et_VOTV_TARIFF_C_VOTV_GC</vt:lpstr>
      <vt:lpstr>et_VOTV_TARIFF_C_VOTV_LEN</vt:lpstr>
      <vt:lpstr>et_VOTV_TARIFF_C_VOTV_LOAD</vt:lpstr>
      <vt:lpstr>et_VOTV_TARIFF_C_VOTV_NETS</vt:lpstr>
      <vt:lpstr>et_VOTV_TARIFF_C_VOTV_NTAR</vt:lpstr>
      <vt:lpstr>et_VOTV_TARIFF_C_VOTV_PERIOD_COLOR</vt:lpstr>
      <vt:lpstr>et_VOTV_TARIFF_C_VOTV_PERIOD_NOT_COLOR</vt:lpstr>
      <vt:lpstr>et_VOTV_TARIFF_C_VOTV_TER</vt:lpstr>
      <vt:lpstr>f_quart</vt:lpstr>
      <vt:lpstr>f_year</vt:lpstr>
      <vt:lpstr>FHD_NAME_FORM</vt:lpstr>
      <vt:lpstr>FHD_NOTE_P_1</vt:lpstr>
      <vt:lpstr>FHD_NOTE_P_10</vt:lpstr>
      <vt:lpstr>FHD_NOTE_P_11</vt:lpstr>
      <vt:lpstr>FHD_NOTE_P_12</vt:lpstr>
      <vt:lpstr>FHD_NOTE_P_13</vt:lpstr>
      <vt:lpstr>FHD_NOTE_P_14</vt:lpstr>
      <vt:lpstr>FHD_NOTE_P_15</vt:lpstr>
      <vt:lpstr>FHD_NOTE_P_16</vt:lpstr>
      <vt:lpstr>FHD_NOTE_P_17</vt:lpstr>
      <vt:lpstr>FHD_NOTE_P_18</vt:lpstr>
      <vt:lpstr>FHD_NOTE_P_19</vt:lpstr>
      <vt:lpstr>FHD_NOTE_P_2</vt:lpstr>
      <vt:lpstr>FHD_NOTE_P_20</vt:lpstr>
      <vt:lpstr>FHD_NOTE_P_21</vt:lpstr>
      <vt:lpstr>FHD_NOTE_P_22</vt:lpstr>
      <vt:lpstr>FHD_NOTE_P_23</vt:lpstr>
      <vt:lpstr>FHD_NOTE_P_24</vt:lpstr>
      <vt:lpstr>FHD_NOTE_P_25</vt:lpstr>
      <vt:lpstr>FHD_NOTE_P_26</vt:lpstr>
      <vt:lpstr>FHD_NOTE_P_27</vt:lpstr>
      <vt:lpstr>FHD_NOTE_P_28</vt:lpstr>
      <vt:lpstr>FHD_NOTE_P_29</vt:lpstr>
      <vt:lpstr>FHD_NOTE_P_3</vt:lpstr>
      <vt:lpstr>FHD_NOTE_P_30</vt:lpstr>
      <vt:lpstr>FHD_NOTE_P_31</vt:lpstr>
      <vt:lpstr>FHD_NOTE_P_32</vt:lpstr>
      <vt:lpstr>FHD_NOTE_P_33</vt:lpstr>
      <vt:lpstr>FHD_NOTE_P_34</vt:lpstr>
      <vt:lpstr>FHD_NOTE_P_35</vt:lpstr>
      <vt:lpstr>FHD_NOTE_P_36</vt:lpstr>
      <vt:lpstr>FHD_NOTE_P_37</vt:lpstr>
      <vt:lpstr>FHD_NOTE_P_38</vt:lpstr>
      <vt:lpstr>FHD_NOTE_P_39</vt:lpstr>
      <vt:lpstr>FHD_NOTE_P_4</vt:lpstr>
      <vt:lpstr>FHD_NOTE_P_40</vt:lpstr>
      <vt:lpstr>FHD_NOTE_P_41</vt:lpstr>
      <vt:lpstr>FHD_NOTE_P_42</vt:lpstr>
      <vt:lpstr>FHD_NOTE_P_43</vt:lpstr>
      <vt:lpstr>FHD_NOTE_P_44</vt:lpstr>
      <vt:lpstr>FHD_NOTE_P_45</vt:lpstr>
      <vt:lpstr>FHD_NOTE_P_46</vt:lpstr>
      <vt:lpstr>FHD_NOTE_P_47</vt:lpstr>
      <vt:lpstr>FHD_NOTE_P_48</vt:lpstr>
      <vt:lpstr>FHD_NOTE_P_49</vt:lpstr>
      <vt:lpstr>FHD_NOTE_P_5</vt:lpstr>
      <vt:lpstr>FHD_NOTE_P_50</vt:lpstr>
      <vt:lpstr>FHD_NOTE_P_51</vt:lpstr>
      <vt:lpstr>FHD_NOTE_P_52</vt:lpstr>
      <vt:lpstr>FHD_NOTE_P_53</vt:lpstr>
      <vt:lpstr>FHD_NOTE_P_54</vt:lpstr>
      <vt:lpstr>FHD_NOTE_P_55</vt:lpstr>
      <vt:lpstr>FHD_NOTE_P_56</vt:lpstr>
      <vt:lpstr>FHD_NOTE_P_57</vt:lpstr>
      <vt:lpstr>FHD_NOTE_P_58</vt:lpstr>
      <vt:lpstr>FHD_NOTE_P_59</vt:lpstr>
      <vt:lpstr>FHD_NOTE_P_6</vt:lpstr>
      <vt:lpstr>FHD_NOTE_P_60</vt:lpstr>
      <vt:lpstr>FHD_NOTE_P_61</vt:lpstr>
      <vt:lpstr>FHD_NOTE_P_62</vt:lpstr>
      <vt:lpstr>FHD_NOTE_P_63</vt:lpstr>
      <vt:lpstr>FHD_NOTE_P_64</vt:lpstr>
      <vt:lpstr>FHD_NOTE_P_65</vt:lpstr>
      <vt:lpstr>FHD_NOTE_P_66</vt:lpstr>
      <vt:lpstr>FHD_NOTE_P_67</vt:lpstr>
      <vt:lpstr>FHD_NOTE_P_68</vt:lpstr>
      <vt:lpstr>FHD_NOTE_P_69</vt:lpstr>
      <vt:lpstr>FHD_NOTE_P_7</vt:lpstr>
      <vt:lpstr>FHD_NOTE_P_70</vt:lpstr>
      <vt:lpstr>FHD_NOTE_P_71</vt:lpstr>
      <vt:lpstr>FHD_NOTE_P_72</vt:lpstr>
      <vt:lpstr>FHD_NOTE_P_73</vt:lpstr>
      <vt:lpstr>FHD_NOTE_P_74</vt:lpstr>
      <vt:lpstr>FHD_NOTE_P_75</vt:lpstr>
      <vt:lpstr>FHD_NOTE_P_76</vt:lpstr>
      <vt:lpstr>FHD_NOTE_P_77</vt:lpstr>
      <vt:lpstr>FHD_NOTE_P_78</vt:lpstr>
      <vt:lpstr>FHD_NOTE_P_79</vt:lpstr>
      <vt:lpstr>FHD_NOTE_P_8</vt:lpstr>
      <vt:lpstr>FHD_NOTE_P_80</vt:lpstr>
      <vt:lpstr>FHD_NOTE_P_81</vt:lpstr>
      <vt:lpstr>FHD_NOTE_P_82</vt:lpstr>
      <vt:lpstr>FHD_NOTE_P_83</vt:lpstr>
      <vt:lpstr>FHD_NOTE_P_84</vt:lpstr>
      <vt:lpstr>FHD_NOTE_P_9</vt:lpstr>
      <vt:lpstr>FHD_NUM_P_1</vt:lpstr>
      <vt:lpstr>FHD_NUM_P_10</vt:lpstr>
      <vt:lpstr>FHD_NUM_P_11</vt:lpstr>
      <vt:lpstr>FHD_NUM_P_12</vt:lpstr>
      <vt:lpstr>FHD_NUM_P_13</vt:lpstr>
      <vt:lpstr>FHD_NUM_P_14</vt:lpstr>
      <vt:lpstr>FHD_NUM_P_15</vt:lpstr>
      <vt:lpstr>FHD_NUM_P_16</vt:lpstr>
      <vt:lpstr>FHD_NUM_P_17</vt:lpstr>
      <vt:lpstr>FHD_NUM_P_18</vt:lpstr>
      <vt:lpstr>FHD_NUM_P_19</vt:lpstr>
      <vt:lpstr>FHD_NUM_P_2</vt:lpstr>
      <vt:lpstr>FHD_NUM_P_20</vt:lpstr>
      <vt:lpstr>FHD_NUM_P_21</vt:lpstr>
      <vt:lpstr>FHD_NUM_P_22</vt:lpstr>
      <vt:lpstr>FHD_NUM_P_23</vt:lpstr>
      <vt:lpstr>FHD_NUM_P_24</vt:lpstr>
      <vt:lpstr>FHD_NUM_P_25</vt:lpstr>
      <vt:lpstr>FHD_NUM_P_26</vt:lpstr>
      <vt:lpstr>FHD_NUM_P_27</vt:lpstr>
      <vt:lpstr>FHD_NUM_P_28</vt:lpstr>
      <vt:lpstr>FHD_NUM_P_29</vt:lpstr>
      <vt:lpstr>FHD_NUM_P_3</vt:lpstr>
      <vt:lpstr>FHD_NUM_P_30</vt:lpstr>
      <vt:lpstr>FHD_NUM_P_31</vt:lpstr>
      <vt:lpstr>FHD_NUM_P_32</vt:lpstr>
      <vt:lpstr>FHD_NUM_P_33</vt:lpstr>
      <vt:lpstr>FHD_NUM_P_34</vt:lpstr>
      <vt:lpstr>FHD_NUM_P_35</vt:lpstr>
      <vt:lpstr>FHD_NUM_P_36</vt:lpstr>
      <vt:lpstr>FHD_NUM_P_37</vt:lpstr>
      <vt:lpstr>FHD_NUM_P_38</vt:lpstr>
      <vt:lpstr>FHD_NUM_P_39</vt:lpstr>
      <vt:lpstr>FHD_NUM_P_4</vt:lpstr>
      <vt:lpstr>FHD_NUM_P_40</vt:lpstr>
      <vt:lpstr>FHD_NUM_P_41</vt:lpstr>
      <vt:lpstr>FHD_NUM_P_42</vt:lpstr>
      <vt:lpstr>FHD_NUM_P_43</vt:lpstr>
      <vt:lpstr>FHD_NUM_P_44</vt:lpstr>
      <vt:lpstr>FHD_NUM_P_45</vt:lpstr>
      <vt:lpstr>FHD_NUM_P_46</vt:lpstr>
      <vt:lpstr>FHD_NUM_P_47</vt:lpstr>
      <vt:lpstr>FHD_NUM_P_48</vt:lpstr>
      <vt:lpstr>FHD_NUM_P_49</vt:lpstr>
      <vt:lpstr>FHD_NUM_P_5</vt:lpstr>
      <vt:lpstr>FHD_NUM_P_50</vt:lpstr>
      <vt:lpstr>FHD_NUM_P_51</vt:lpstr>
      <vt:lpstr>FHD_NUM_P_52</vt:lpstr>
      <vt:lpstr>FHD_NUM_P_53</vt:lpstr>
      <vt:lpstr>FHD_NUM_P_54</vt:lpstr>
      <vt:lpstr>FHD_NUM_P_55</vt:lpstr>
      <vt:lpstr>FHD_NUM_P_56</vt:lpstr>
      <vt:lpstr>FHD_NUM_P_57</vt:lpstr>
      <vt:lpstr>FHD_NUM_P_58</vt:lpstr>
      <vt:lpstr>FHD_NUM_P_59</vt:lpstr>
      <vt:lpstr>FHD_NUM_P_6</vt:lpstr>
      <vt:lpstr>FHD_NUM_P_60</vt:lpstr>
      <vt:lpstr>FHD_NUM_P_61</vt:lpstr>
      <vt:lpstr>FHD_NUM_P_62</vt:lpstr>
      <vt:lpstr>FHD_NUM_P_63</vt:lpstr>
      <vt:lpstr>FHD_NUM_P_64</vt:lpstr>
      <vt:lpstr>FHD_NUM_P_65</vt:lpstr>
      <vt:lpstr>FHD_NUM_P_66</vt:lpstr>
      <vt:lpstr>FHD_NUM_P_67</vt:lpstr>
      <vt:lpstr>FHD_NUM_P_68</vt:lpstr>
      <vt:lpstr>FHD_NUM_P_69</vt:lpstr>
      <vt:lpstr>FHD_NUM_P_7</vt:lpstr>
      <vt:lpstr>FHD_NUM_P_70</vt:lpstr>
      <vt:lpstr>FHD_NUM_P_71</vt:lpstr>
      <vt:lpstr>FHD_NUM_P_72</vt:lpstr>
      <vt:lpstr>FHD_NUM_P_73</vt:lpstr>
      <vt:lpstr>FHD_NUM_P_74</vt:lpstr>
      <vt:lpstr>FHD_NUM_P_75</vt:lpstr>
      <vt:lpstr>FHD_NUM_P_76</vt:lpstr>
      <vt:lpstr>FHD_NUM_P_77</vt:lpstr>
      <vt:lpstr>FHD_NUM_P_78</vt:lpstr>
      <vt:lpstr>FHD_NUM_P_79</vt:lpstr>
      <vt:lpstr>FHD_NUM_P_8</vt:lpstr>
      <vt:lpstr>FHD_NUM_P_80</vt:lpstr>
      <vt:lpstr>FHD_NUM_P_81</vt:lpstr>
      <vt:lpstr>FHD_NUM_P_82</vt:lpstr>
      <vt:lpstr>FHD_NUM_P_83</vt:lpstr>
      <vt:lpstr>FHD_NUM_P_84</vt:lpstr>
      <vt:lpstr>FHD_NUM_P_9</vt:lpstr>
      <vt:lpstr>FHD_NUM_P_A</vt:lpstr>
      <vt:lpstr>FHD_P_1</vt:lpstr>
      <vt:lpstr>FHD_P_10</vt:lpstr>
      <vt:lpstr>FHD_P_11</vt:lpstr>
      <vt:lpstr>FHD_P_12</vt:lpstr>
      <vt:lpstr>FHD_P_13</vt:lpstr>
      <vt:lpstr>FHD_P_14</vt:lpstr>
      <vt:lpstr>FHD_P_15</vt:lpstr>
      <vt:lpstr>FHD_P_16</vt:lpstr>
      <vt:lpstr>FHD_P_17</vt:lpstr>
      <vt:lpstr>FHD_P_18</vt:lpstr>
      <vt:lpstr>FHD_P_19</vt:lpstr>
      <vt:lpstr>FHD_P_2</vt:lpstr>
      <vt:lpstr>FHD_P_20</vt:lpstr>
      <vt:lpstr>FHD_P_21</vt:lpstr>
      <vt:lpstr>FHD_P_22</vt:lpstr>
      <vt:lpstr>FHD_P_23</vt:lpstr>
      <vt:lpstr>FHD_P_24</vt:lpstr>
      <vt:lpstr>FHD_P_25</vt:lpstr>
      <vt:lpstr>FHD_P_26</vt:lpstr>
      <vt:lpstr>FHD_P_27</vt:lpstr>
      <vt:lpstr>FHD_P_28</vt:lpstr>
      <vt:lpstr>FHD_P_29</vt:lpstr>
      <vt:lpstr>FHD_P_3</vt:lpstr>
      <vt:lpstr>FHD_P_30</vt:lpstr>
      <vt:lpstr>FHD_P_31</vt:lpstr>
      <vt:lpstr>FHD_P_32</vt:lpstr>
      <vt:lpstr>FHD_P_33</vt:lpstr>
      <vt:lpstr>FHD_P_34</vt:lpstr>
      <vt:lpstr>FHD_P_35</vt:lpstr>
      <vt:lpstr>FHD_P_36</vt:lpstr>
      <vt:lpstr>FHD_P_37</vt:lpstr>
      <vt:lpstr>FHD_P_38</vt:lpstr>
      <vt:lpstr>FHD_P_39</vt:lpstr>
      <vt:lpstr>FHD_P_4</vt:lpstr>
      <vt:lpstr>FHD_P_40</vt:lpstr>
      <vt:lpstr>FHD_P_41</vt:lpstr>
      <vt:lpstr>FHD_P_42</vt:lpstr>
      <vt:lpstr>FHD_P_43</vt:lpstr>
      <vt:lpstr>FHD_P_44</vt:lpstr>
      <vt:lpstr>FHD_P_45</vt:lpstr>
      <vt:lpstr>FHD_P_46</vt:lpstr>
      <vt:lpstr>FHD_P_47</vt:lpstr>
      <vt:lpstr>FHD_P_48</vt:lpstr>
      <vt:lpstr>FHD_P_49</vt:lpstr>
      <vt:lpstr>FHD_P_5</vt:lpstr>
      <vt:lpstr>FHD_P_50</vt:lpstr>
      <vt:lpstr>FHD_P_51</vt:lpstr>
      <vt:lpstr>FHD_P_52</vt:lpstr>
      <vt:lpstr>FHD_P_53</vt:lpstr>
      <vt:lpstr>FHD_P_54</vt:lpstr>
      <vt:lpstr>FHD_P_55</vt:lpstr>
      <vt:lpstr>FHD_P_56</vt:lpstr>
      <vt:lpstr>FHD_P_57</vt:lpstr>
      <vt:lpstr>FHD_P_58</vt:lpstr>
      <vt:lpstr>FHD_P_59</vt:lpstr>
      <vt:lpstr>FHD_P_6</vt:lpstr>
      <vt:lpstr>FHD_P_60</vt:lpstr>
      <vt:lpstr>FHD_P_61</vt:lpstr>
      <vt:lpstr>FHD_P_62</vt:lpstr>
      <vt:lpstr>FHD_P_63</vt:lpstr>
      <vt:lpstr>FHD_P_64</vt:lpstr>
      <vt:lpstr>FHD_P_65</vt:lpstr>
      <vt:lpstr>FHD_P_66</vt:lpstr>
      <vt:lpstr>FHD_P_67</vt:lpstr>
      <vt:lpstr>FHD_P_68</vt:lpstr>
      <vt:lpstr>FHD_P_69</vt:lpstr>
      <vt:lpstr>FHD_P_7</vt:lpstr>
      <vt:lpstr>FHD_P_70</vt:lpstr>
      <vt:lpstr>FHD_P_71</vt:lpstr>
      <vt:lpstr>FHD_P_72</vt:lpstr>
      <vt:lpstr>FHD_P_73</vt:lpstr>
      <vt:lpstr>FHD_P_74</vt:lpstr>
      <vt:lpstr>FHD_P_75</vt:lpstr>
      <vt:lpstr>FHD_P_76</vt:lpstr>
      <vt:lpstr>FHD_P_77</vt:lpstr>
      <vt:lpstr>FHD_P_78</vt:lpstr>
      <vt:lpstr>FHD_P_79</vt:lpstr>
      <vt:lpstr>FHD_P_8</vt:lpstr>
      <vt:lpstr>FHD_P_80</vt:lpstr>
      <vt:lpstr>FHD_P_81</vt:lpstr>
      <vt:lpstr>FHD_P_82</vt:lpstr>
      <vt:lpstr>FHD_P_83</vt:lpstr>
      <vt:lpstr>FHD_P_84</vt:lpstr>
      <vt:lpstr>FHD_P_9</vt:lpstr>
      <vt:lpstr>FHD_P_A</vt:lpstr>
      <vt:lpstr>FHD20_NAME_FORM</vt:lpstr>
      <vt:lpstr>fil</vt:lpstr>
      <vt:lpstr>flag_Q_LIMIT_p3</vt:lpstr>
      <vt:lpstr>flag_Q_LIMIT_p4</vt:lpstr>
      <vt:lpstr>HEAT_FIN_SRC_LIST</vt:lpstr>
      <vt:lpstr>HEAT_FIN_SRC_VLD_LIST</vt:lpstr>
      <vt:lpstr>HEAT_IP_EVENT_CI_STAGE_LIST</vt:lpstr>
      <vt:lpstr>HEAT_IP_EVENT_GROUP_LIST</vt:lpstr>
      <vt:lpstr>HEAT_IP_EVENT_SUBGROUP_1_LIST</vt:lpstr>
      <vt:lpstr>HEAT_IP_EVENT_SUBGROUP_3_LIST</vt:lpstr>
      <vt:lpstr>HEAT_IP_EVENT_SUBGROUP_5_LIST</vt:lpstr>
      <vt:lpstr>HEAT_IP_EVENT_TYPE_LIST</vt:lpstr>
      <vt:lpstr>HEAT_PT_SCHEME</vt:lpstr>
      <vt:lpstr>HEAT_PT_TARIFF_ID</vt:lpstr>
      <vt:lpstr>HEAT_PT_TARIFF_NAME</vt:lpstr>
      <vt:lpstr>HEAT_PT_TARIFF_NAME_LIST</vt:lpstr>
      <vt:lpstr>HEAT_PT_VED_ID</vt:lpstr>
      <vt:lpstr>HEAT_PT_VED_NAME</vt:lpstr>
      <vt:lpstr>HEAT_PT_VED_NAME_LIST</vt:lpstr>
      <vt:lpstr>HEAT_TARIFF_A_ADD_HL_COLUMN_MARKER</vt:lpstr>
      <vt:lpstr>HEAT_TARIFF_A_DEL_HL_GC_COLUMN_MARKER</vt:lpstr>
      <vt:lpstr>HEAT_TARIFF_A_DEL_HL_SCHEME_COLUMN_MARKER</vt:lpstr>
      <vt:lpstr>HEAT_TARIFF_A_DEL_HL_TN_COLUMN_MARKER</vt:lpstr>
      <vt:lpstr>HEAT_TARIFF_A_DELETE_PERIOD_ROW_MARKER</vt:lpstr>
      <vt:lpstr>HEAT_TARIFF_A_FLAG_BLOCK_COLUMN_MARKER</vt:lpstr>
      <vt:lpstr>HEAT_TARIFF_A_FLAG_BLOCK_ROW_MARKER</vt:lpstr>
      <vt:lpstr>HEAT_TARIFF_A_NUM_CS_COLUMN_MARKER</vt:lpstr>
      <vt:lpstr>HEAT_TARIFF_A_NUM_GC_COLUMN_MARKER</vt:lpstr>
      <vt:lpstr>HEAT_TARIFF_A_NUM_IST_TE_COLUMN_MARKER</vt:lpstr>
      <vt:lpstr>HEAT_TARIFF_A_NUM_NTAR_COLUMN_MARKER</vt:lpstr>
      <vt:lpstr>HEAT_TARIFF_A_NUM_SCHEME_COLUMN_MARKER</vt:lpstr>
      <vt:lpstr>HEAT_TARIFF_A_NUM_TER_COLUMN_MARKER</vt:lpstr>
      <vt:lpstr>HEAT_TARIFF_A_NUM_TN_COLUMN_MARKER</vt:lpstr>
      <vt:lpstr>HEAT_TARIFF_B_ADD_HL_COLUMN_MARKER</vt:lpstr>
      <vt:lpstr>HEAT_TARIFF_B_DEL_HL_GC_COLUMN_MARKER</vt:lpstr>
      <vt:lpstr>HEAT_TARIFF_B_DEL_HL_SCHEME_COLUMN_MARKER</vt:lpstr>
      <vt:lpstr>HEAT_TARIFF_B_DEL_HL_TN_COLUMN_MARKER</vt:lpstr>
      <vt:lpstr>HEAT_TARIFF_B_DELETE_PERIOD_ROW_MARKER</vt:lpstr>
      <vt:lpstr>HEAT_TARIFF_B_FLAG_BLOCK_COLUMN_MARKER</vt:lpstr>
      <vt:lpstr>HEAT_TARIFF_B_FLAG_BLOCK_ROW_MARKER</vt:lpstr>
      <vt:lpstr>HEAT_TARIFF_B_NUM_CS_COLUMN_MARKER</vt:lpstr>
      <vt:lpstr>HEAT_TARIFF_B_NUM_GC_COLUMN_MARKER</vt:lpstr>
      <vt:lpstr>HEAT_TARIFF_B_NUM_IST_TE_COLUMN_MARKER</vt:lpstr>
      <vt:lpstr>HEAT_TARIFF_B_NUM_NTAR_COLUMN_MARKER</vt:lpstr>
      <vt:lpstr>HEAT_TARIFF_B_NUM_SCHEME_COLUMN_MARKER</vt:lpstr>
      <vt:lpstr>HEAT_TARIFF_B_NUM_TER_COLUMN_MARKER</vt:lpstr>
      <vt:lpstr>HEAT_TARIFF_B_NUM_TN_COLUMN_MARKER</vt:lpstr>
      <vt:lpstr>HEAT_TARIFF_C_ADD_HL_COLUMN_MARKER</vt:lpstr>
      <vt:lpstr>HEAT_TARIFF_C_DEL_HL_GC_COLUMN_MARKER</vt:lpstr>
      <vt:lpstr>HEAT_TARIFF_C_DEL_HL_SCHEME_COLUMN_MARKER</vt:lpstr>
      <vt:lpstr>HEAT_TARIFF_C_DEL_HL_TN_COLUMN_MARKER</vt:lpstr>
      <vt:lpstr>HEAT_TARIFF_C_DELETE_PERIOD_ROW_MARKER</vt:lpstr>
      <vt:lpstr>HEAT_TARIFF_C_FLAG_BLOCK_COLUMN_MARKER</vt:lpstr>
      <vt:lpstr>HEAT_TARIFF_C_FLAG_BLOCK_ROW_MARKER</vt:lpstr>
      <vt:lpstr>HEAT_TARIFF_C_NUM_CS_COLUMN_MARKER</vt:lpstr>
      <vt:lpstr>HEAT_TARIFF_C_NUM_GC_COLUMN_MARKER</vt:lpstr>
      <vt:lpstr>HEAT_TARIFF_C_NUM_IST_TE_COLUMN_MARKER</vt:lpstr>
      <vt:lpstr>HEAT_TARIFF_C_NUM_NTAR_COLUMN_MARKER</vt:lpstr>
      <vt:lpstr>HEAT_TARIFF_C_NUM_SCHEME_COLUMN_MARKER</vt:lpstr>
      <vt:lpstr>HEAT_TARIFF_C_NUM_TER_COLUMN_MARKER</vt:lpstr>
      <vt:lpstr>HEAT_TARIFF_C_NUM_TN_COLUMN_MARKER</vt:lpstr>
      <vt:lpstr>HEAT_TARIFF_D_ADD_HL_COLUMN_MARKER</vt:lpstr>
      <vt:lpstr>HEAT_TARIFF_D_DEL_HL_CONS_COLUMN_MARKER</vt:lpstr>
      <vt:lpstr>HEAT_TARIFF_D_DEL_HL_GC_COLUMN_MARKER</vt:lpstr>
      <vt:lpstr>HEAT_TARIFF_D_DEL_HL_SCHEME_COLUMN_MARKER</vt:lpstr>
      <vt:lpstr>HEAT_TARIFF_D_DEL_HL_TN_COLUMN_MARKER</vt:lpstr>
      <vt:lpstr>HEAT_TARIFF_D_DELETE_PERIOD_ROW_MARKER</vt:lpstr>
      <vt:lpstr>HEAT_TARIFF_D_FLAG_BLOCK_COLUMN_MARKER</vt:lpstr>
      <vt:lpstr>HEAT_TARIFF_D_FLAG_BLOCK_ROW_MARKER</vt:lpstr>
      <vt:lpstr>HEAT_TARIFF_D_NUM_CONS_COLUMN_MARKER</vt:lpstr>
      <vt:lpstr>HEAT_TARIFF_D_NUM_CS_COLUMN_MARKER</vt:lpstr>
      <vt:lpstr>HEAT_TARIFF_D_NUM_GC_COLUMN_MARKER</vt:lpstr>
      <vt:lpstr>HEAT_TARIFF_D_NUM_IST_TE_COLUMN_MARKER</vt:lpstr>
      <vt:lpstr>HEAT_TARIFF_D_NUM_NTAR_COLUMN_MARKER</vt:lpstr>
      <vt:lpstr>HEAT_TARIFF_D_NUM_SCHEME_COLUMN_MARKER</vt:lpstr>
      <vt:lpstr>HEAT_TARIFF_D_NUM_TER_COLUMN_MARKER</vt:lpstr>
      <vt:lpstr>HEAT_TARIFF_D_NUM_TN_COLUMN_MARKER</vt:lpstr>
      <vt:lpstr>HEAT_TARIFF_E1_ADD_HL_COLUMN_MARKER</vt:lpstr>
      <vt:lpstr>HEAT_TARIFF_E1_DEL_HL_GC_COLUMN_MARKER</vt:lpstr>
      <vt:lpstr>HEAT_TARIFF_E1_DEL_HL_SCHEME_COLUMN_MARKER</vt:lpstr>
      <vt:lpstr>HEAT_TARIFF_E1_DEL_HL_TN_COLUMN_MARKER</vt:lpstr>
      <vt:lpstr>HEAT_TARIFF_E1_DELETE_PERIOD_ROW_MARKER</vt:lpstr>
      <vt:lpstr>HEAT_TARIFF_E1_FLAG_BLOCK_COLUMN_MARKER</vt:lpstr>
      <vt:lpstr>HEAT_TARIFF_E1_FLAG_BLOCK_ROW_MARKER</vt:lpstr>
      <vt:lpstr>HEAT_TARIFF_E1_NUM_CS_COLUMN_MARKER</vt:lpstr>
      <vt:lpstr>HEAT_TARIFF_E1_NUM_GC_COLUMN_MARKER</vt:lpstr>
      <vt:lpstr>HEAT_TARIFF_E1_NUM_IST_TE_COLUMN_MARKER</vt:lpstr>
      <vt:lpstr>HEAT_TARIFF_E1_NUM_NTAR_COLUMN_MARKER</vt:lpstr>
      <vt:lpstr>HEAT_TARIFF_E1_NUM_SCHEME_COLUMN_MARKER</vt:lpstr>
      <vt:lpstr>HEAT_TARIFF_E1_NUM_TER_COLUMN_MARKER</vt:lpstr>
      <vt:lpstr>HEAT_TARIFF_E1_NUM_TN_COLUMN_MARKER</vt:lpstr>
      <vt:lpstr>HEAT_TARIFF_E2_ADD_HL_COLUMN_MARKER</vt:lpstr>
      <vt:lpstr>HEAT_TARIFF_E2_DEL_HL_GC_COLUMN_MARKER</vt:lpstr>
      <vt:lpstr>HEAT_TARIFF_E2_DEL_HL_SCHEME_COLUMN_MARKER</vt:lpstr>
      <vt:lpstr>HEAT_TARIFF_E2_DEL_HL_TN_COLUMN_MARKER</vt:lpstr>
      <vt:lpstr>HEAT_TARIFF_E2_DELETE_PERIOD_ROW_MARKER</vt:lpstr>
      <vt:lpstr>HEAT_TARIFF_E2_FLAG_BLOCK_COLUMN_MARKER</vt:lpstr>
      <vt:lpstr>HEAT_TARIFF_E2_FLAG_BLOCK_ROW_MARKER</vt:lpstr>
      <vt:lpstr>HEAT_TARIFF_E2_NUM_CS_COLUMN_MARKER</vt:lpstr>
      <vt:lpstr>HEAT_TARIFF_E2_NUM_GC_COLUMN_MARKER</vt:lpstr>
      <vt:lpstr>HEAT_TARIFF_E2_NUM_IST_TE_COLUMN_MARKER</vt:lpstr>
      <vt:lpstr>HEAT_TARIFF_E2_NUM_NTAR_COLUMN_MARKER</vt:lpstr>
      <vt:lpstr>HEAT_TARIFF_E2_NUM_SCHEME_COLUMN_MARKER</vt:lpstr>
      <vt:lpstr>HEAT_TARIFF_E2_NUM_TER_COLUMN_MARKER</vt:lpstr>
      <vt:lpstr>HEAT_TARIFF_E2_NUM_TN_COLUMN_MARKER</vt:lpstr>
      <vt:lpstr>HEAT_TARIFF_F_ADD_HL_COLUMN_MARKER</vt:lpstr>
      <vt:lpstr>HEAT_TARIFF_F_DEL_HL_GC_COLUMN_MARKER</vt:lpstr>
      <vt:lpstr>HEAT_TARIFF_F_DEL_HL_SCHEME_COLUMN_MARKER</vt:lpstr>
      <vt:lpstr>HEAT_TARIFF_F_DEL_HL_TN_COLUMN_MARKER</vt:lpstr>
      <vt:lpstr>HEAT_TARIFF_F_DELETE_PERIOD_ROW_MARKER</vt:lpstr>
      <vt:lpstr>HEAT_TARIFF_F_FLAG_BLOCK_COLUMN_MARKER</vt:lpstr>
      <vt:lpstr>HEAT_TARIFF_F_FLAG_BLOCK_ROW_MARKER</vt:lpstr>
      <vt:lpstr>HEAT_TARIFF_F_NUM_CS_COLUMN_MARKER</vt:lpstr>
      <vt:lpstr>HEAT_TARIFF_F_NUM_GC_COLUMN_MARKER</vt:lpstr>
      <vt:lpstr>HEAT_TARIFF_F_NUM_IST_TE_COLUMN_MARKER</vt:lpstr>
      <vt:lpstr>HEAT_TARIFF_F_NUM_NTAR_COLUMN_MARKER</vt:lpstr>
      <vt:lpstr>HEAT_TARIFF_F_NUM_SCHEME_COLUMN_MARKER</vt:lpstr>
      <vt:lpstr>HEAT_TARIFF_F_NUM_TER_COLUMN_MARKER</vt:lpstr>
      <vt:lpstr>HEAT_TARIFF_F_NUM_TN_COLUMN_MARKER</vt:lpstr>
      <vt:lpstr>HEAT_TARIFF_G_ADD_HL_COLUMN_MARKER</vt:lpstr>
      <vt:lpstr>HEAT_TARIFF_G_ADD_HL_DIAMETERS_COLUMN_MARKER</vt:lpstr>
      <vt:lpstr>HEAT_TARIFF_G_ADD_HL_LOAD_COLUMN_MARKER</vt:lpstr>
      <vt:lpstr>HEAT_TARIFF_G_ADD_HL_NETS_COLUMN_MARKER</vt:lpstr>
      <vt:lpstr>HEAT_TARIFF_G_DEL_HL_DIAMETERS_COLUMN_MARKER</vt:lpstr>
      <vt:lpstr>HEAT_TARIFF_G_DEL_HL_GC_COLUMN_MARKER</vt:lpstr>
      <vt:lpstr>HEAT_TARIFF_G_DEL_HL_LOAD_COLUMN_MARKER</vt:lpstr>
      <vt:lpstr>HEAT_TARIFF_G_DEL_HL_NETS_COLUMN_MARKER</vt:lpstr>
      <vt:lpstr>HEAT_TARIFF_G_DEL_HL_SCHEME_COLUMN_MARKER</vt:lpstr>
      <vt:lpstr>HEAT_TARIFF_G_DEL_HL_TN_COLUMN_MARKER</vt:lpstr>
      <vt:lpstr>HEAT_TARIFF_G_DELETE_PERIOD_ROW_MARKER</vt:lpstr>
      <vt:lpstr>HEAT_TARIFF_G_FLAG_BLOCK_COLUMN_MARKER</vt:lpstr>
      <vt:lpstr>HEAT_TARIFF_G_FLAG_BLOCK_ROW_MARKER</vt:lpstr>
      <vt:lpstr>HEAT_TARIFF_G_NUM_CS_COLUMN_MARKER</vt:lpstr>
      <vt:lpstr>HEAT_TARIFF_G_NUM_DIAMETERS_COLUMN_MARKER</vt:lpstr>
      <vt:lpstr>HEAT_TARIFF_G_NUM_GC_COLUMN_MARKER</vt:lpstr>
      <vt:lpstr>HEAT_TARIFF_G_NUM_IST_TE_COLUMN_MARKER</vt:lpstr>
      <vt:lpstr>HEAT_TARIFF_G_NUM_LOAD_COLUMN_MARKER</vt:lpstr>
      <vt:lpstr>HEAT_TARIFF_G_NUM_NETS_COLUMN_MARKER</vt:lpstr>
      <vt:lpstr>HEAT_TARIFF_G_NUM_NTAR_COLUMN_MARKER</vt:lpstr>
      <vt:lpstr>HEAT_TARIFF_G_NUM_SCHEME_COLUMN_MARKER</vt:lpstr>
      <vt:lpstr>HEAT_TARIFF_G_NUM_TER_COLUMN_MARKER</vt:lpstr>
      <vt:lpstr>HEAT_TARIFF_G_NUM_TN_COLUMN_MARKER</vt:lpstr>
      <vt:lpstr>HEAT_TARIFF_H_ADD_HL_COLUMN_MARKER</vt:lpstr>
      <vt:lpstr>HEAT_TARIFF_H_ADD_HL_DIAMETERS_COLUMN_MARKER</vt:lpstr>
      <vt:lpstr>HEAT_TARIFF_H_ADD_HL_LOAD_COLUMN_MARKER</vt:lpstr>
      <vt:lpstr>HEAT_TARIFF_H_ADD_HL_NETS_COLUMN_MARKER</vt:lpstr>
      <vt:lpstr>HEAT_TARIFF_H_DEL_HL_DIAMETERS_COLUMN_MARKER</vt:lpstr>
      <vt:lpstr>HEAT_TARIFF_H_DEL_HL_GC_COLUMN_MARKER</vt:lpstr>
      <vt:lpstr>HEAT_TARIFF_H_DEL_HL_LOAD_COLUMN_MARKER</vt:lpstr>
      <vt:lpstr>HEAT_TARIFF_H_DEL_HL_NETS_COLUMN_MARKER</vt:lpstr>
      <vt:lpstr>HEAT_TARIFF_H_DEL_HL_SCHEME_COLUMN_MARKER</vt:lpstr>
      <vt:lpstr>HEAT_TARIFF_H_DEL_HL_TN_COLUMN_MARKER</vt:lpstr>
      <vt:lpstr>HEAT_TARIFF_H_DELETE_PERIOD_ROW_MARKER</vt:lpstr>
      <vt:lpstr>HEAT_TARIFF_H_FLAG_BLOCK_COLUMN_MARKER</vt:lpstr>
      <vt:lpstr>HEAT_TARIFF_H_FLAG_BLOCK_ROW_MARKER</vt:lpstr>
      <vt:lpstr>HEAT_TARIFF_H_NUM_CS_COLUMN_MARKER</vt:lpstr>
      <vt:lpstr>HEAT_TARIFF_H_NUM_DIAMETERS_COLUMN_MARKER</vt:lpstr>
      <vt:lpstr>HEAT_TARIFF_H_NUM_GC_COLUMN_MARKER</vt:lpstr>
      <vt:lpstr>HEAT_TARIFF_H_NUM_IST_TE_COLUMN_MARKER</vt:lpstr>
      <vt:lpstr>HEAT_TARIFF_H_NUM_LOAD_COLUMN_MARKER</vt:lpstr>
      <vt:lpstr>HEAT_TARIFF_H_NUM_NETS_COLUMN_MARKER</vt:lpstr>
      <vt:lpstr>HEAT_TARIFF_H_NUM_NTAR_COLUMN_MARKER</vt:lpstr>
      <vt:lpstr>HEAT_TARIFF_H_NUM_SCHEME_COLUMN_MARKER</vt:lpstr>
      <vt:lpstr>HEAT_TARIFF_H_NUM_TER_COLUMN_MARKER</vt:lpstr>
      <vt:lpstr>HEAT_TARIFF_H_NUM_TN_COLUMN_MARKER</vt:lpstr>
      <vt:lpstr>HEAT_TARIFF_I_1_ADD_HL_COLUMN_MARKER</vt:lpstr>
      <vt:lpstr>HEAT_TARIFF_I_1_DEL_HL_GC_COLUMN_MARKER</vt:lpstr>
      <vt:lpstr>HEAT_TARIFF_I_1_DEL_HL_SCHEME_COLUMN_MARKER</vt:lpstr>
      <vt:lpstr>HEAT_TARIFF_I_1_DEL_HL_TN_COLUMN_MARKER</vt:lpstr>
      <vt:lpstr>HEAT_TARIFF_I_1_DELETE_PERIOD_ROW_MARKER</vt:lpstr>
      <vt:lpstr>HEAT_TARIFF_I_1_FLAG_BLOCK_COLUMN_MARKER</vt:lpstr>
      <vt:lpstr>HEAT_TARIFF_I_1_FLAG_BLOCK_ROW_MARKER</vt:lpstr>
      <vt:lpstr>HEAT_TARIFF_I_1_NUM_CS_COLUMN_MARKER</vt:lpstr>
      <vt:lpstr>HEAT_TARIFF_I_1_NUM_GC_COLUMN_MARKER</vt:lpstr>
      <vt:lpstr>HEAT_TARIFF_I_1_NUM_IST_TE_COLUMN_MARKER</vt:lpstr>
      <vt:lpstr>HEAT_TARIFF_I_1_NUM_NTAR_COLUMN_MARKER</vt:lpstr>
      <vt:lpstr>HEAT_TARIFF_I_1_NUM_SCHEME_COLUMN_MARKER</vt:lpstr>
      <vt:lpstr>HEAT_TARIFF_I_1_NUM_TER_COLUMN_MARKER</vt:lpstr>
      <vt:lpstr>HEAT_TARIFF_I_1_NUM_TN_COLUMN_MARKER</vt:lpstr>
      <vt:lpstr>HEAT_TARIFF_I_ADD_HL_COLUMN_MARKER</vt:lpstr>
      <vt:lpstr>HEAT_TARIFF_I_DEL_HL_GC_COLUMN_MARKER</vt:lpstr>
      <vt:lpstr>HEAT_TARIFF_I_DEL_HL_SCHEME_COLUMN_MARKER</vt:lpstr>
      <vt:lpstr>HEAT_TARIFF_I_DEL_HL_TN_COLUMN_MARKER</vt:lpstr>
      <vt:lpstr>HEAT_TARIFF_I_DELETE_PERIOD_ROW_MARKER</vt:lpstr>
      <vt:lpstr>HEAT_TARIFF_I_FLAG_BLOCK_COLUMN_MARKER</vt:lpstr>
      <vt:lpstr>HEAT_TARIFF_I_FLAG_BLOCK_ROW_MARKER</vt:lpstr>
      <vt:lpstr>HEAT_TARIFF_I_NUM_CS_COLUMN_MARKER</vt:lpstr>
      <vt:lpstr>HEAT_TARIFF_I_NUM_GC_COLUMN_MARKER</vt:lpstr>
      <vt:lpstr>HEAT_TARIFF_I_NUM_IST_TE_COLUMN_MARKER</vt:lpstr>
      <vt:lpstr>HEAT_TARIFF_I_NUM_NTAR_COLUMN_MARKER</vt:lpstr>
      <vt:lpstr>HEAT_TARIFF_I_NUM_SCHEME_COLUMN_MARKER</vt:lpstr>
      <vt:lpstr>HEAT_TARIFF_I_NUM_TER_COLUMN_MARKER</vt:lpstr>
      <vt:lpstr>HEAT_TARIFF_I_NUM_TN_COLUMN_MARKER</vt:lpstr>
      <vt:lpstr>HOTVSNA_FIN_SRC_LIST</vt:lpstr>
      <vt:lpstr>HOTVSNA_FIN_SRC_VLD_LIST</vt:lpstr>
      <vt:lpstr>HOTVSNA_IP_EVENT_CI_STAGE_LIST</vt:lpstr>
      <vt:lpstr>HOTVSNA_IP_EVENT_GROUP_LIST</vt:lpstr>
      <vt:lpstr>HOTVSNA_IP_EVENT_SUBGROUP_1_LIST</vt:lpstr>
      <vt:lpstr>HOTVSNA_IP_EVENT_SUBGROUP_3_LIST</vt:lpstr>
      <vt:lpstr>HOTVSNA_IP_EVENT_SUBGROUP_5_LIST</vt:lpstr>
      <vt:lpstr>HOTVSNA_IP_EVENT_TYPE_LIST</vt:lpstr>
      <vt:lpstr>HOTVSNA_PT_VED_ID</vt:lpstr>
      <vt:lpstr>HOTVSNA_PT_VED_NAME</vt:lpstr>
      <vt:lpstr>HOTVSNA_PT_VED_NAME_LIST</vt:lpstr>
      <vt:lpstr>HOTVSNA_TARIFF_A_HOTVSNA_ADD_HL_COLUMN_MARKER</vt:lpstr>
      <vt:lpstr>HOTVSNA_TARIFF_A_HOTVSNA_DEL_HL_DATA_DIFF_COLUMN_MARKER</vt:lpstr>
      <vt:lpstr>HOTVSNA_TARIFF_A_HOTVSNA_DEL_HL_FLAG_DIFF_COLUMN_MARKER</vt:lpstr>
      <vt:lpstr>HOTVSNA_TARIFF_A_HOTVSNA_DEL_HL_GC_COLUMN_MARKER</vt:lpstr>
      <vt:lpstr>HOTVSNA_TARIFF_A_HOTVSNA_DELETE_PERIOD_ROW_MARKER</vt:lpstr>
      <vt:lpstr>HOTVSNA_TARIFF_A_HOTVSNA_FLAG_BLOCK_COLUMN_MARKER</vt:lpstr>
      <vt:lpstr>HOTVSNA_TARIFF_A_HOTVSNA_FLAG_BLOCK_ROW_MARKER</vt:lpstr>
      <vt:lpstr>HOTVSNA_TARIFF_A_HOTVSNA_NUM_CS_COLUMN_MARKER</vt:lpstr>
      <vt:lpstr>HOTVSNA_TARIFF_A_HOTVSNA_NUM_DATA_DIFF_COLUMN_MARKER</vt:lpstr>
      <vt:lpstr>HOTVSNA_TARIFF_A_HOTVSNA_NUM_FLAG_DIFF_COLUMN_MARKER</vt:lpstr>
      <vt:lpstr>HOTVSNA_TARIFF_A_HOTVSNA_NUM_GC_COLUMN_MARKER</vt:lpstr>
      <vt:lpstr>HOTVSNA_TARIFF_A_HOTVSNA_NUM_NTAR_COLUMN_MARKER</vt:lpstr>
      <vt:lpstr>HOTVSNA_TARIFF_A_HOTVSNA_NUM_TER_COLUMN_MARKER</vt:lpstr>
      <vt:lpstr>HOTVSNA_TARIFF_B_HOTVSNA_ADD_HL_COLUMN_MARKER</vt:lpstr>
      <vt:lpstr>HOTVSNA_TARIFF_B_HOTVSNA_DEL_HL_DATA_DIFF_COLUMN_MARKER</vt:lpstr>
      <vt:lpstr>HOTVSNA_TARIFF_B_HOTVSNA_DEL_HL_FLAG_DIFF_COLUMN_MARKER</vt:lpstr>
      <vt:lpstr>HOTVSNA_TARIFF_B_HOTVSNA_DEL_HL_GC_COLUMN_MARKER</vt:lpstr>
      <vt:lpstr>HOTVSNA_TARIFF_B_HOTVSNA_DELETE_PERIOD_ROW_MARKER</vt:lpstr>
      <vt:lpstr>HOTVSNA_TARIFF_B_HOTVSNA_FLAG_BLOCK_COLUMN_MARKER</vt:lpstr>
      <vt:lpstr>HOTVSNA_TARIFF_B_HOTVSNA_FLAG_BLOCK_ROW_MARKER</vt:lpstr>
      <vt:lpstr>HOTVSNA_TARIFF_B_HOTVSNA_NUM_CS_COLUMN_MARKER</vt:lpstr>
      <vt:lpstr>HOTVSNA_TARIFF_B_HOTVSNA_NUM_DATA_DIFF_COLUMN_MARKER</vt:lpstr>
      <vt:lpstr>HOTVSNA_TARIFF_B_HOTVSNA_NUM_FLAG_DIFF_COLUMN_MARKER</vt:lpstr>
      <vt:lpstr>HOTVSNA_TARIFF_B_HOTVSNA_NUM_GC_COLUMN_MARKER</vt:lpstr>
      <vt:lpstr>HOTVSNA_TARIFF_B_HOTVSNA_NUM_NTAR_COLUMN_MARKER</vt:lpstr>
      <vt:lpstr>HOTVSNA_TARIFF_B_HOTVSNA_NUM_TER_COLUMN_MARKER</vt:lpstr>
      <vt:lpstr>HOTVSNA_TARIFF_C_HOTVSNA_ADD_HL_COLUMN_MARKER</vt:lpstr>
      <vt:lpstr>HOTVSNA_TARIFF_C_HOTVSNA_ADD_HL_DIAMETERS_COLUMN_MARKER</vt:lpstr>
      <vt:lpstr>HOTVSNA_TARIFF_C_HOTVSNA_ADD_HL_LEN_COLUMN_MARKER</vt:lpstr>
      <vt:lpstr>HOTVSNA_TARIFF_C_HOTVSNA_ADD_HL_LOAD_COLUMN_MARKER</vt:lpstr>
      <vt:lpstr>HOTVSNA_TARIFF_C_HOTVSNA_ADD_HL_NETS_COLUMN_MARKER</vt:lpstr>
      <vt:lpstr>HOTVSNA_TARIFF_C_HOTVSNA_DEL_HL_DATA_DIFF_COLUMN_MARKER</vt:lpstr>
      <vt:lpstr>HOTVSNA_TARIFF_C_HOTVSNA_DEL_HL_DIAMETERS_COLUMN_MARKER</vt:lpstr>
      <vt:lpstr>HOTVSNA_TARIFF_C_HOTVSNA_DEL_HL_FLAG_DIFF_COLUMN_MARKER</vt:lpstr>
      <vt:lpstr>HOTVSNA_TARIFF_C_HOTVSNA_DEL_HL_GC_COLUMN_MARKER</vt:lpstr>
      <vt:lpstr>HOTVSNA_TARIFF_C_HOTVSNA_DEL_HL_LEN_COLUMN_MARKER</vt:lpstr>
      <vt:lpstr>HOTVSNA_TARIFF_C_HOTVSNA_DEL_HL_LOAD_COLUMN_MARKER</vt:lpstr>
      <vt:lpstr>HOTVSNA_TARIFF_C_HOTVSNA_DEL_HL_NETS_COLUMN_MARKER</vt:lpstr>
      <vt:lpstr>HOTVSNA_TARIFF_C_HOTVSNA_DELETE_PERIOD_ROW_MARKER</vt:lpstr>
      <vt:lpstr>HOTVSNA_TARIFF_C_HOTVSNA_FLAG_BLOCK_COLUMN_MARKER</vt:lpstr>
      <vt:lpstr>HOTVSNA_TARIFF_C_HOTVSNA_FLAG_BLOCK_ROW_MARKER</vt:lpstr>
      <vt:lpstr>HOTVSNA_TARIFF_C_HOTVSNA_NUM_CS_COLUMN_MARKER</vt:lpstr>
      <vt:lpstr>HOTVSNA_TARIFF_C_HOTVSNA_NUM_DATA_DIFF_COLUMN_MARKER</vt:lpstr>
      <vt:lpstr>HOTVSNA_TARIFF_C_HOTVSNA_NUM_DIAMETERS_COLUMN_MARKER</vt:lpstr>
      <vt:lpstr>HOTVSNA_TARIFF_C_HOTVSNA_NUM_FLAG_DIFF_COLUMN_MARKER</vt:lpstr>
      <vt:lpstr>HOTVSNA_TARIFF_C_HOTVSNA_NUM_GC_COLUMN_MARKER</vt:lpstr>
      <vt:lpstr>HOTVSNA_TARIFF_C_HOTVSNA_NUM_LEN_COLUMN_MARKER</vt:lpstr>
      <vt:lpstr>HOTVSNA_TARIFF_C_HOTVSNA_NUM_LOAD_COLUMN_MARKER</vt:lpstr>
      <vt:lpstr>HOTVSNA_TARIFF_C_HOTVSNA_NUM_NETS_COLUMN_MARKER</vt:lpstr>
      <vt:lpstr>HOTVSNA_TARIFF_C_HOTVSNA_NUM_NTAR_COLUMN_MARKER</vt:lpstr>
      <vt:lpstr>HOTVSNA_TARIFF_C_HOTVSNA_NUM_TER_COLUMN_MARKER</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IP_CLAIM_LIST</vt:lpstr>
      <vt:lpstr>IP_DETAILED_ADD_HL_EVENT_COLUMN_MARKER</vt:lpstr>
      <vt:lpstr>IP_DETAILED_ADD_HL_IST_FIN_COLUMN_MARKER</vt:lpstr>
      <vt:lpstr>IP_DETAILED_ADD_HL_OBJECT_COLUMN_MARKER</vt:lpstr>
      <vt:lpstr>IP_DETAILED_DATA_KS</vt:lpstr>
      <vt:lpstr>IP_DETAILED_EVENT_MARKER</vt:lpstr>
      <vt:lpstr>IP_DETAILED_EVENT_SUBGROUP_COLUMN_MARKER</vt:lpstr>
      <vt:lpstr>IP_DETAILED_EVENT_SUBGROUP_RANGE_COLUMN_MARKER</vt:lpstr>
      <vt:lpstr>IP_DETAILED_FLAG_KS</vt:lpstr>
      <vt:lpstr>IP_DETAILED_FLAG_OBJECT</vt:lpstr>
      <vt:lpstr>IP_DETAILED_GROUP_MARKER</vt:lpstr>
      <vt:lpstr>IP_DETAILED_IST_FIN_FACT_COLUMN_MARKER</vt:lpstr>
      <vt:lpstr>IP_DETAILED_LIST_IP_ID</vt:lpstr>
      <vt:lpstr>IP_DETAILED_MONTH_FACT_COLUMN_MARKER</vt:lpstr>
      <vt:lpstr>IP_DETAILED_MONTH_PLAN_COLUMN_MARKER</vt:lpstr>
      <vt:lpstr>IP_DETAILED_NAME_EVENT_COLUMN_MARKER</vt:lpstr>
      <vt:lpstr>IP_DETAILED_YEAR_FACT_COLUMN_MARKER</vt:lpstr>
      <vt:lpstr>IP_DETAILED_YEAR_PLAN_COLUMN_MARKER</vt:lpstr>
      <vt:lpstr>IP_FIN_PLAN_LIST_ID_MARKER_ROW</vt:lpstr>
      <vt:lpstr>IP_FIN_PLAN_NAME_IP_MARKER_ROW</vt:lpstr>
      <vt:lpstr>IP_FIN_PLAN_YEAR_MARKER_ROW</vt:lpstr>
      <vt:lpstr>IP_ID</vt:lpstr>
      <vt:lpstr>IP_MAIN_ADD_HL_PROPERTY_COLUMN_MARKER</vt:lpstr>
      <vt:lpstr>IP_MAIN_APPROVAL_DATE</vt:lpstr>
      <vt:lpstr>IP_MAIN_CHANGE_DATE</vt:lpstr>
      <vt:lpstr>IP_MAIN_CLAIM</vt:lpstr>
      <vt:lpstr>IP_MAIN_DATE_PARKING</vt:lpstr>
      <vt:lpstr>IP_MAIN_DELETE_HL_COLUMN_MARKER</vt:lpstr>
      <vt:lpstr>IP_MAIN_DIFFERENTIATION_EVENTS_FLAG</vt:lpstr>
      <vt:lpstr>IP_MAIN_END_DATE</vt:lpstr>
      <vt:lpstr>IP_MAIN_FLAG_KS</vt:lpstr>
      <vt:lpstr>IP_MAIN_FLAG_KS_COLUMN_MARKER</vt:lpstr>
      <vt:lpstr>IP_MAIN_IP_FIN_PLAN_VISIBLE_FLAG</vt:lpstr>
      <vt:lpstr>IP_MAIN_LIST_IP_ID</vt:lpstr>
      <vt:lpstr>IP_MAIN_LIST_NAME_IP</vt:lpstr>
      <vt:lpstr>IP_MAIN_PERIOD_REALIZ_DATE</vt:lpstr>
      <vt:lpstr>IP_MAIN_PR_IP_CHANGE_DATE</vt:lpstr>
      <vt:lpstr>IP_MAIN_PR_IP_DATE</vt:lpstr>
      <vt:lpstr>IP_MAIN_PR_IP_NAME</vt:lpstr>
      <vt:lpstr>IP_MAIN_PR_IP_NUMBER</vt:lpstr>
      <vt:lpstr>IP_MAIN_PR_IP_TYPE</vt:lpstr>
      <vt:lpstr>IP_MAIN_START_DATE</vt:lpstr>
      <vt:lpstr>IP_NAME_FORM</vt:lpstr>
      <vt:lpstr>IP_QRE_ADD_HL_CLAIM_COLUMN_MARKER</vt:lpstr>
      <vt:lpstr>IP_QRE_ADD_HL_COLUMN_MARKER</vt:lpstr>
      <vt:lpstr>IP_QRE_DELETE_HL_COLUMN_MARKER</vt:lpstr>
      <vt:lpstr>IP_QRE_LIST_IP_ID</vt:lpstr>
      <vt:lpstr>IP_QRE_NUM_COLUMN_MARKER</vt:lpstr>
      <vt:lpstr>IP_QRE_OTKO_FEATURES_BLOCK</vt:lpstr>
      <vt:lpstr>IP_QRE_VOTV_FEATURES_BLOCK</vt:lpstr>
      <vt:lpstr>IP_QRE_VSNA_FEATURES_BLOCK</vt:lpstr>
      <vt:lpstr>IP_QRE_WARM_FEATURES_BLOCK</vt:lpstr>
      <vt:lpstr>IST_TE_ID</vt:lpstr>
      <vt:lpstr>kind_group_rates</vt:lpstr>
      <vt:lpstr>kind_group_rates_load</vt:lpstr>
      <vt:lpstr>kind_group_rates_load_ETS</vt:lpstr>
      <vt:lpstr>kind_group_rates_load_filter</vt:lpstr>
      <vt:lpstr>kind_group_rates_load_filter_ETS</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kind_of_fuel</vt:lpstr>
      <vt:lpstr>kind_of_fuels</vt:lpstr>
      <vt:lpstr>kind_of_heat_transfer</vt:lpstr>
      <vt:lpstr>kind_of_heat_transfer2</vt:lpstr>
      <vt:lpstr>kind_of_heat_transfer3</vt:lpstr>
      <vt:lpstr>kind_of_load</vt:lpstr>
      <vt:lpstr>kind_of_load2</vt:lpstr>
      <vt:lpstr>kind_of_load3</vt:lpstr>
      <vt:lpstr>kind_of_load4</vt:lpstr>
      <vt:lpstr>kind_of_NDS</vt:lpstr>
      <vt:lpstr>kind_of_NDS_tariff</vt:lpstr>
      <vt:lpstr>kind_of_NDS_tariff_people</vt:lpstr>
      <vt:lpstr>kind_of_nets</vt:lpstr>
      <vt:lpstr>kind_of_org_type</vt:lpstr>
      <vt:lpstr>kind_of_power_te_unit</vt:lpstr>
      <vt:lpstr>kind_of_publication</vt:lpstr>
      <vt:lpstr>kind_of_purchase_method</vt:lpstr>
      <vt:lpstr>kind_of_scheme_in</vt:lpstr>
      <vt:lpstr>kind_of_scheme_in2</vt:lpstr>
      <vt:lpstr>kind_of_tariff_RHEAT</vt:lpstr>
      <vt:lpstr>kind_of_tariff_unit</vt:lpstr>
      <vt:lpstr>kind_of_unit</vt:lpstr>
      <vt:lpstr>kind_of_volume_te_unit</vt:lpstr>
      <vt:lpstr>kind_of_zak</vt:lpstr>
      <vt:lpstr>KNE_NAME_FORM</vt:lpstr>
      <vt:lpstr>kpp</vt:lpstr>
      <vt:lpstr>LINK_RANGE</vt:lpstr>
      <vt:lpstr>List_H</vt:lpstr>
      <vt:lpstr>List_M</vt:lpstr>
      <vt:lpstr>LIST_MR_MO_OKTMO</vt:lpstr>
      <vt:lpstr>LIST_MR_MO_OKTMO_FILTER</vt:lpstr>
      <vt:lpstr>ListForms</vt:lpstr>
      <vt:lpstr>logical</vt:lpstr>
      <vt:lpstr>MONTH</vt:lpstr>
      <vt:lpstr>MONTH_IP_LIST</vt:lpstr>
      <vt:lpstr>nalog</vt:lpstr>
      <vt:lpstr>name_rates_4</vt:lpstr>
      <vt:lpstr>name_rates_4_filter</vt:lpstr>
      <vt:lpstr>name_rates_8</vt:lpstr>
      <vt:lpstr>name_rates_8_filter</vt:lpstr>
      <vt:lpstr>NameTemplatesInListMO</vt:lpstr>
      <vt:lpstr>NameTemplatesInTitle</vt:lpstr>
      <vt:lpstr>NameTemplatesInTitleList</vt:lpstr>
      <vt:lpstr>NTAR_ID</vt:lpstr>
      <vt:lpstr>OFFER_DPR</vt:lpstr>
      <vt:lpstr>OFFER_METHOD</vt:lpstr>
      <vt:lpstr>OFFER_METHOD_FLAG</vt:lpstr>
      <vt:lpstr>OFFER_TARIFF_A_1</vt:lpstr>
      <vt:lpstr>OFFER_TARIFF_A_2</vt:lpstr>
      <vt:lpstr>OFFER_TARIFF_A_3</vt:lpstr>
      <vt:lpstr>OFFER_TARIFF_A_4</vt:lpstr>
      <vt:lpstr>OFFER_TARIFF_A_5</vt:lpstr>
      <vt:lpstr>OFFER_TARIFF_A_COLDVSNA_1</vt:lpstr>
      <vt:lpstr>OFFER_TARIFF_A_COLDVSNA_2</vt:lpstr>
      <vt:lpstr>OFFER_TARIFF_A_COLDVSNA_3</vt:lpstr>
      <vt:lpstr>OFFER_TARIFF_A_COLDVSNA_4</vt:lpstr>
      <vt:lpstr>OFFER_TARIFF_A_COLDVSNA_5</vt:lpstr>
      <vt:lpstr>OFFER_TARIFF_A_HOTVSNA_1</vt:lpstr>
      <vt:lpstr>OFFER_TARIFF_A_HOTVSNA_2</vt:lpstr>
      <vt:lpstr>OFFER_TARIFF_A_HOTVSNA_3</vt:lpstr>
      <vt:lpstr>OFFER_TARIFF_A_HOTVSNA_4</vt:lpstr>
      <vt:lpstr>OFFER_TARIFF_A_HOTVSNA_5</vt:lpstr>
      <vt:lpstr>OFFER_TARIFF_A_VOTV_1</vt:lpstr>
      <vt:lpstr>OFFER_TARIFF_A_VOTV_2</vt:lpstr>
      <vt:lpstr>OFFER_TARIFF_A_VOTV_3</vt:lpstr>
      <vt:lpstr>OFFER_TARIFF_A_VOTV_4</vt:lpstr>
      <vt:lpstr>OFFER_TARIFF_A_VOTV_5</vt:lpstr>
      <vt:lpstr>OFFER_TARIFF_B_1</vt:lpstr>
      <vt:lpstr>OFFER_TARIFF_B_2</vt:lpstr>
      <vt:lpstr>OFFER_TARIFF_B_3</vt:lpstr>
      <vt:lpstr>OFFER_TARIFF_B_4</vt:lpstr>
      <vt:lpstr>OFFER_TARIFF_B_5</vt:lpstr>
      <vt:lpstr>OFFER_TARIFF_B_COLDVSNA_1</vt:lpstr>
      <vt:lpstr>OFFER_TARIFF_B_COLDVSNA_2</vt:lpstr>
      <vt:lpstr>OFFER_TARIFF_B_COLDVSNA_3</vt:lpstr>
      <vt:lpstr>OFFER_TARIFF_B_COLDVSNA_4</vt:lpstr>
      <vt:lpstr>OFFER_TARIFF_B_COLDVSNA_5</vt:lpstr>
      <vt:lpstr>OFFER_TARIFF_B_HOTVSNA_1</vt:lpstr>
      <vt:lpstr>OFFER_TARIFF_B_HOTVSNA_2</vt:lpstr>
      <vt:lpstr>OFFER_TARIFF_B_HOTVSNA_3</vt:lpstr>
      <vt:lpstr>OFFER_TARIFF_B_HOTVSNA_4</vt:lpstr>
      <vt:lpstr>OFFER_TARIFF_B_HOTVSNA_5</vt:lpstr>
      <vt:lpstr>OFFER_TARIFF_B_VOTV_1</vt:lpstr>
      <vt:lpstr>OFFER_TARIFF_B_VOTV_2</vt:lpstr>
      <vt:lpstr>OFFER_TARIFF_B_VOTV_3</vt:lpstr>
      <vt:lpstr>OFFER_TARIFF_B_VOTV_4</vt:lpstr>
      <vt:lpstr>OFFER_TARIFF_B_VOTV_5</vt:lpstr>
      <vt:lpstr>OFFER_TARIFF_C_1</vt:lpstr>
      <vt:lpstr>OFFER_TARIFF_C_2</vt:lpstr>
      <vt:lpstr>OFFER_TARIFF_C_3</vt:lpstr>
      <vt:lpstr>OFFER_TARIFF_C_4</vt:lpstr>
      <vt:lpstr>OFFER_TARIFF_C_5</vt:lpstr>
      <vt:lpstr>OFFER_TARIFF_C_COLDVSNA_1</vt:lpstr>
      <vt:lpstr>OFFER_TARIFF_C_COLDVSNA_2</vt:lpstr>
      <vt:lpstr>OFFER_TARIFF_C_COLDVSNA_3</vt:lpstr>
      <vt:lpstr>OFFER_TARIFF_C_COLDVSNA_4</vt:lpstr>
      <vt:lpstr>OFFER_TARIFF_C_COLDVSNA_5</vt:lpstr>
      <vt:lpstr>OFFER_TARIFF_C_HOTVSNA_1</vt:lpstr>
      <vt:lpstr>OFFER_TARIFF_C_HOTVSNA_2</vt:lpstr>
      <vt:lpstr>OFFER_TARIFF_C_HOTVSNA_3</vt:lpstr>
      <vt:lpstr>OFFER_TARIFF_C_HOTVSNA_4</vt:lpstr>
      <vt:lpstr>OFFER_TARIFF_C_HOTVSNA_5</vt:lpstr>
      <vt:lpstr>OFFER_TARIFF_C_VOTV_1</vt:lpstr>
      <vt:lpstr>OFFER_TARIFF_C_VOTV_2</vt:lpstr>
      <vt:lpstr>OFFER_TARIFF_C_VOTV_3</vt:lpstr>
      <vt:lpstr>OFFER_TARIFF_C_VOTV_4</vt:lpstr>
      <vt:lpstr>OFFER_TARIFF_C_VOTV_5</vt:lpstr>
      <vt:lpstr>OFFER_TARIFF_D_1</vt:lpstr>
      <vt:lpstr>OFFER_TARIFF_D_2</vt:lpstr>
      <vt:lpstr>OFFER_TARIFF_D_3</vt:lpstr>
      <vt:lpstr>OFFER_TARIFF_D_4</vt:lpstr>
      <vt:lpstr>OFFER_TARIFF_D_5</vt:lpstr>
      <vt:lpstr>OFFER_TARIFF_D_COLDVSNA_1</vt:lpstr>
      <vt:lpstr>OFFER_TARIFF_D_COLDVSNA_2</vt:lpstr>
      <vt:lpstr>OFFER_TARIFF_D_COLDVSNA_3</vt:lpstr>
      <vt:lpstr>OFFER_TARIFF_D_COLDVSNA_4</vt:lpstr>
      <vt:lpstr>OFFER_TARIFF_D_COLDVSNA_5</vt:lpstr>
      <vt:lpstr>OFFER_TARIFF_E_COLDVSNA_1</vt:lpstr>
      <vt:lpstr>OFFER_TARIFF_E_COLDVSNA_2</vt:lpstr>
      <vt:lpstr>OFFER_TARIFF_E_COLDVSNA_3</vt:lpstr>
      <vt:lpstr>OFFER_TARIFF_E_COLDVSNA_4</vt:lpstr>
      <vt:lpstr>OFFER_TARIFF_E_COLDVSNA_5</vt:lpstr>
      <vt:lpstr>OFFER_TARIFF_E1_1</vt:lpstr>
      <vt:lpstr>OFFER_TARIFF_E1_2</vt:lpstr>
      <vt:lpstr>OFFER_TARIFF_E1_3</vt:lpstr>
      <vt:lpstr>OFFER_TARIFF_E1_4</vt:lpstr>
      <vt:lpstr>OFFER_TARIFF_E1_5</vt:lpstr>
      <vt:lpstr>OFFER_TARIFF_E2_1</vt:lpstr>
      <vt:lpstr>OFFER_TARIFF_E2_2</vt:lpstr>
      <vt:lpstr>OFFER_TARIFF_E2_3</vt:lpstr>
      <vt:lpstr>OFFER_TARIFF_E2_4</vt:lpstr>
      <vt:lpstr>OFFER_TARIFF_E2_5</vt:lpstr>
      <vt:lpstr>OFFER_TARIFF_F_1</vt:lpstr>
      <vt:lpstr>OFFER_TARIFF_F_2</vt:lpstr>
      <vt:lpstr>OFFER_TARIFF_F_3</vt:lpstr>
      <vt:lpstr>OFFER_TARIFF_F_4</vt:lpstr>
      <vt:lpstr>OFFER_TARIFF_F_5</vt:lpstr>
      <vt:lpstr>OFFER_TARIFF_G_1</vt:lpstr>
      <vt:lpstr>OFFER_TARIFF_G_2</vt:lpstr>
      <vt:lpstr>OFFER_TARIFF_G_3</vt:lpstr>
      <vt:lpstr>OFFER_TARIFF_G_4</vt:lpstr>
      <vt:lpstr>OFFER_TARIFF_G_5</vt:lpstr>
      <vt:lpstr>OFFER_TARIFF_H_1</vt:lpstr>
      <vt:lpstr>org</vt:lpstr>
      <vt:lpstr>Org_Address</vt:lpstr>
      <vt:lpstr>ORG_END_DATE</vt:lpstr>
      <vt:lpstr>ORG_INFO_DATE_OGRN</vt:lpstr>
      <vt:lpstr>ORG_INFO_DATE_PARKING</vt:lpstr>
      <vt:lpstr>ORG_INFO_DATE_UNI_TS</vt:lpstr>
      <vt:lpstr>ORG_INFO_EMAIL</vt:lpstr>
      <vt:lpstr>ORG_INFO_ET</vt:lpstr>
      <vt:lpstr>ORG_INFO_ET_CYAN</vt:lpstr>
      <vt:lpstr>ORG_INFO_FLAG_INVEST</vt:lpstr>
      <vt:lpstr>ORG_INFO_NAME_FORM</vt:lpstr>
      <vt:lpstr>ORG_INFO_P_NOTE_MAIN</vt:lpstr>
      <vt:lpstr>ORG_INFO_RESP_EMAIL</vt:lpstr>
      <vt:lpstr>ORG_INFO_URL</vt:lpstr>
      <vt:lpstr>Org_main</vt:lpstr>
      <vt:lpstr>ORG_START_DATE</vt:lpstr>
      <vt:lpstr>ORG_TERRITORY_FIRST_MO</vt:lpstr>
      <vt:lpstr>ORG_TERRITORY_FLAG_INTERNET</vt:lpstr>
      <vt:lpstr>ORG_TERRITORY_LINK</vt:lpstr>
      <vt:lpstr>ORG_TERRITORY_NAME_COL</vt:lpstr>
      <vt:lpstr>ORG_TERRITORY_POINT_NUMBER_1</vt:lpstr>
      <vt:lpstr>ORG_VD_EM</vt:lpstr>
      <vt:lpstr>ORG_VD_FIRST_ROW</vt:lpstr>
      <vt:lpstr>ORG_VD_FIRST_SYSTEM</vt:lpstr>
      <vt:lpstr>ORG_VD_NAME_FORM</vt:lpstr>
      <vt:lpstr>ORG_VD_SYSTEM</vt:lpstr>
      <vt:lpstr>ORG_VD_TKO_ADD_HL_ACTIVITY_COLUMN_MARKER</vt:lpstr>
      <vt:lpstr>ORG_VD_TKO_ADD_HL_TYPE_OBJECT_COLUMN_MARKER</vt:lpstr>
      <vt:lpstr>ORG_VD_TKO_DEL_HL_ACTIVITY_COLUMN_MARKER</vt:lpstr>
      <vt:lpstr>ORG_VD_TKO_DEL_HL_TYPE_OBJECT_COLUMN_MARKER</vt:lpstr>
      <vt:lpstr>ORG_VD_TKO_VD</vt:lpstr>
      <vt:lpstr>ORG_VD_TKO_VD_ID</vt:lpstr>
      <vt:lpstr>ORG_VD_VD</vt:lpstr>
      <vt:lpstr>ORG_VD_VD_ID</vt:lpstr>
      <vt:lpstr>OTKO_FIN_SRC_LIST</vt:lpstr>
      <vt:lpstr>OTKO_FIN_SRC_VLD_LIST</vt:lpstr>
      <vt:lpstr>OTKO_IP_EVENT_CI_STAGE_LIST</vt:lpstr>
      <vt:lpstr>OTKO_IP_EVENT_GROUP_LIST</vt:lpstr>
      <vt:lpstr>OTKO_IP_EVENT_TYPE_LIST</vt:lpstr>
      <vt:lpstr>otv_lico_name</vt:lpstr>
      <vt:lpstr>P_T_TERMS_LINK</vt:lpstr>
      <vt:lpstr>pCng_P_T_TERMS_1</vt:lpstr>
      <vt:lpstr>pCng_P_T_TERMS_2</vt:lpstr>
      <vt:lpstr>pCng_P_T_TERMS_3</vt:lpstr>
      <vt:lpstr>pCng_P_T_TERMS_4</vt:lpstr>
      <vt:lpstr>pDel_B_STANDARTS</vt:lpstr>
      <vt:lpstr>pDel_CHANGE_INFO</vt:lpstr>
      <vt:lpstr>pDel_Comm</vt:lpstr>
      <vt:lpstr>pDel_DIFFERENTIATION_AREA</vt:lpstr>
      <vt:lpstr>pDel_DIFFERENTIATION_SYSTEM</vt:lpstr>
      <vt:lpstr>pDel_DIFFERENTIATION_VD</vt:lpstr>
      <vt:lpstr>pDel_ED</vt:lpstr>
      <vt:lpstr>pDel_IP_DETAILED_EVENT</vt:lpstr>
      <vt:lpstr>pDel_IP_DETAILED_IST_FIN</vt:lpstr>
      <vt:lpstr>pDel_IP_DETAILED_OBJECT</vt:lpstr>
      <vt:lpstr>pDel_IP_MAIN</vt:lpstr>
      <vt:lpstr>pDel_IP_MAIN_PROPERTY</vt:lpstr>
      <vt:lpstr>pDel_IP_QRE_CLAIM</vt:lpstr>
      <vt:lpstr>pDel_List07</vt:lpstr>
      <vt:lpstr>pDel_LT_AREA</vt:lpstr>
      <vt:lpstr>pDel_LT_MO</vt:lpstr>
      <vt:lpstr>pDel_ORG_INFO</vt:lpstr>
      <vt:lpstr>pDel_ORG_TERRITORY</vt:lpstr>
      <vt:lpstr>pDel_ORG_VD</vt:lpstr>
      <vt:lpstr>pDel_P_PROCEDURE_TC</vt:lpstr>
      <vt:lpstr>pDel_P_T_TERMS</vt:lpstr>
      <vt:lpstr>pDel_Q_LIMIT</vt:lpstr>
      <vt:lpstr>pDel_Q_TP</vt:lpstr>
      <vt:lpstr>pDel_R_B_Purch</vt:lpstr>
      <vt:lpstr>periodEnd</vt:lpstr>
      <vt:lpstr>PeriodIsEmpty</vt:lpstr>
      <vt:lpstr>PeriodIsEmptyList</vt:lpstr>
      <vt:lpstr>periodStart</vt:lpstr>
      <vt:lpstr>pHeader_B_FHD</vt:lpstr>
      <vt:lpstr>pHeader_B_FHD_TKO</vt:lpstr>
      <vt:lpstr>pHeader_B_FHD_TKO_TRANS</vt:lpstr>
      <vt:lpstr>pHeader_B_KNE</vt:lpstr>
      <vt:lpstr>pHeader_B_OTEP</vt:lpstr>
      <vt:lpstr>pHeader_Q_LIMIT</vt:lpstr>
      <vt:lpstr>pHeader_Q_PH</vt:lpstr>
      <vt:lpstr>pHeader_Q_TP</vt:lpstr>
      <vt:lpstr>pHeader_ver_B_FHD</vt:lpstr>
      <vt:lpstr>pHeader_ver_B_FHD_TKO</vt:lpstr>
      <vt:lpstr>pHeader_ver_B_FHD_TKO_TRANS</vt:lpstr>
      <vt:lpstr>pHeader_ver_B_KNE</vt:lpstr>
      <vt:lpstr>pHeader_ver_B_OTEP</vt:lpstr>
      <vt:lpstr>pHeader_ver_P_PROCEDURE_TC</vt:lpstr>
      <vt:lpstr>pHeader_ver_Q_LIMIT</vt:lpstr>
      <vt:lpstr>pIns_B_FHD_1</vt:lpstr>
      <vt:lpstr>pIns_B_FHD_2</vt:lpstr>
      <vt:lpstr>pIns_B_FHD_3</vt:lpstr>
      <vt:lpstr>pIns_B_FHD_4</vt:lpstr>
      <vt:lpstr>pIns_B_FHD_5</vt:lpstr>
      <vt:lpstr>pIns_B_FHD_6</vt:lpstr>
      <vt:lpstr>pIns_B_FHD_DIFFERENTIATION</vt:lpstr>
      <vt:lpstr>pIns_B_FHD_TKO_2</vt:lpstr>
      <vt:lpstr>pIns_B_FHD_TKO_DIFFERENTIATION</vt:lpstr>
      <vt:lpstr>pIns_B_FHD_TKO_TRANS_2</vt:lpstr>
      <vt:lpstr>pIns_B_FHD_TKO_TRANS_DIFFERENTIATION</vt:lpstr>
      <vt:lpstr>pIns_B_FHD20_DIFFERENTIATION</vt:lpstr>
      <vt:lpstr>pIns_B_KNE_DIFFERENTIATION</vt:lpstr>
      <vt:lpstr>pIns_B_OTEP_2</vt:lpstr>
      <vt:lpstr>pIns_B_OTEP_DIFFERENTIATION</vt:lpstr>
      <vt:lpstr>pIns_B_STANDARTS</vt:lpstr>
      <vt:lpstr>pIns_CHANGE_INFO</vt:lpstr>
      <vt:lpstr>pIns_Comm</vt:lpstr>
      <vt:lpstr>pIns_ED</vt:lpstr>
      <vt:lpstr>pIns_IP_DETAILED</vt:lpstr>
      <vt:lpstr>pIns_IP_FIN_PLAN</vt:lpstr>
      <vt:lpstr>pIns_IP_MAIN</vt:lpstr>
      <vt:lpstr>pIns_IP_QRE</vt:lpstr>
      <vt:lpstr>pIns_List07</vt:lpstr>
      <vt:lpstr>pIns_LT_AREA</vt:lpstr>
      <vt:lpstr>pIns_ORG_INFO_1</vt:lpstr>
      <vt:lpstr>pIns_ORG_INFO_2</vt:lpstr>
      <vt:lpstr>pIns_ORG_INFO_3</vt:lpstr>
      <vt:lpstr>pIns_ORG_TERRITORY</vt:lpstr>
      <vt:lpstr>pIns_ORG_VD_1</vt:lpstr>
      <vt:lpstr>pIns_ORG_VD_2</vt:lpstr>
      <vt:lpstr>pIns_ORG_VD_TKO_1</vt:lpstr>
      <vt:lpstr>pIns_P_PROCEDURE_TC_1</vt:lpstr>
      <vt:lpstr>pIns_P_PROCEDURE_TC_2</vt:lpstr>
      <vt:lpstr>pIns_P_PROCEDURE_TC_3</vt:lpstr>
      <vt:lpstr>pIns_P_PROCEDURE_TC_4</vt:lpstr>
      <vt:lpstr>pIns_P_PROCEDURE_TC_5</vt:lpstr>
      <vt:lpstr>pIns_P_T_TERMS_1</vt:lpstr>
      <vt:lpstr>pIns_P_T_TERMS_2</vt:lpstr>
      <vt:lpstr>pIns_P_T_TERMS_3</vt:lpstr>
      <vt:lpstr>pIns_P_T_TERMS_4</vt:lpstr>
      <vt:lpstr>pIns_PT_VTAR_A</vt:lpstr>
      <vt:lpstr>pIns_PT_VTAR_A_COLDVSNA</vt:lpstr>
      <vt:lpstr>pIns_PT_VTAR_A_COLDVSNA_OFFER_1</vt:lpstr>
      <vt:lpstr>pIns_PT_VTAR_A_COLDVSNA_OFFER_2</vt:lpstr>
      <vt:lpstr>pIns_PT_VTAR_A_COLDVSNA_OFFER_3</vt:lpstr>
      <vt:lpstr>pIns_PT_VTAR_A_COLDVSNA_OFFER_4</vt:lpstr>
      <vt:lpstr>pIns_PT_VTAR_A_COLDVSNA_OFFER_5</vt:lpstr>
      <vt:lpstr>pIns_PT_VTAR_A_COLDVSNA_OFFER5</vt:lpstr>
      <vt:lpstr>pIns_PT_VTAR_A_HOTVSNA</vt:lpstr>
      <vt:lpstr>pIns_PT_VTAR_A_HOTVSNA_OFFER_1</vt:lpstr>
      <vt:lpstr>pIns_PT_VTAR_A_HOTVSNA_OFFER_2</vt:lpstr>
      <vt:lpstr>pIns_PT_VTAR_A_HOTVSNA_OFFER_3</vt:lpstr>
      <vt:lpstr>pIns_PT_VTAR_A_HOTVSNA_OFFER_4</vt:lpstr>
      <vt:lpstr>pIns_PT_VTAR_A_HOTVSNA_OFFER_5</vt:lpstr>
      <vt:lpstr>pIns_PT_VTAR_A_OFFER_1</vt:lpstr>
      <vt:lpstr>pIns_PT_VTAR_A_OFFER_2</vt:lpstr>
      <vt:lpstr>pIns_PT_VTAR_A_OFFER_3</vt:lpstr>
      <vt:lpstr>pIns_PT_VTAR_A_OFFER_4</vt:lpstr>
      <vt:lpstr>pIns_PT_VTAR_A_OFFER_5</vt:lpstr>
      <vt:lpstr>pIns_PT_VTAR_A_VOTV</vt:lpstr>
      <vt:lpstr>pIns_PT_VTAR_A_VOTV_OFFER_1</vt:lpstr>
      <vt:lpstr>pIns_PT_VTAR_A_VOTV_OFFER_2</vt:lpstr>
      <vt:lpstr>pIns_PT_VTAR_A_VOTV_OFFER_3</vt:lpstr>
      <vt:lpstr>pIns_PT_VTAR_A_VOTV_OFFER_4</vt:lpstr>
      <vt:lpstr>pIns_PT_VTAR_A_VOTV_OFFER_5</vt:lpstr>
      <vt:lpstr>pIns_PT_VTAR_B</vt:lpstr>
      <vt:lpstr>pIns_PT_VTAR_B_COLDVSNA</vt:lpstr>
      <vt:lpstr>pIns_PT_VTAR_B_COLDVSNA_OFFER_1</vt:lpstr>
      <vt:lpstr>pIns_PT_VTAR_B_COLDVSNA_OFFER_2</vt:lpstr>
      <vt:lpstr>pIns_PT_VTAR_B_COLDVSNA_OFFER_3</vt:lpstr>
      <vt:lpstr>pIns_PT_VTAR_B_COLDVSNA_OFFER_4</vt:lpstr>
      <vt:lpstr>pIns_PT_VTAR_B_COLDVSNA_OFFER_5</vt:lpstr>
      <vt:lpstr>pIns_PT_VTAR_B_HOTVSNA</vt:lpstr>
      <vt:lpstr>pIns_PT_VTAR_B_HOTVSNA_OFFER_1</vt:lpstr>
      <vt:lpstr>pIns_PT_VTAR_B_HOTVSNA_OFFER_2</vt:lpstr>
      <vt:lpstr>pIns_PT_VTAR_B_HOTVSNA_OFFER_3</vt:lpstr>
      <vt:lpstr>pIns_PT_VTAR_B_HOTVSNA_OFFER_4</vt:lpstr>
      <vt:lpstr>pIns_PT_VTAR_B_HOTVSNA_OFFER_5</vt:lpstr>
      <vt:lpstr>pIns_PT_VTAR_B_OFFER_1</vt:lpstr>
      <vt:lpstr>pIns_PT_VTAR_B_OFFER_2</vt:lpstr>
      <vt:lpstr>pIns_PT_VTAR_B_OFFER_3</vt:lpstr>
      <vt:lpstr>pIns_PT_VTAR_B_OFFER_4</vt:lpstr>
      <vt:lpstr>pIns_PT_VTAR_B_OFFER_5</vt:lpstr>
      <vt:lpstr>pIns_PT_VTAR_B_VOTV</vt:lpstr>
      <vt:lpstr>pIns_PT_VTAR_B_VOTV_OFFER_1</vt:lpstr>
      <vt:lpstr>pIns_PT_VTAR_B_VOTV_OFFER_2</vt:lpstr>
      <vt:lpstr>pIns_PT_VTAR_B_VOTV_OFFER_3</vt:lpstr>
      <vt:lpstr>pIns_PT_VTAR_B_VOTV_OFFER_4</vt:lpstr>
      <vt:lpstr>pIns_PT_VTAR_B_VOTV_OFFER_5</vt:lpstr>
      <vt:lpstr>pIns_PT_VTAR_C</vt:lpstr>
      <vt:lpstr>pIns_PT_VTAR_C_COLDVSNA</vt:lpstr>
      <vt:lpstr>pIns_PT_VTAR_C_COLDVSNA_OFFER_1</vt:lpstr>
      <vt:lpstr>pIns_PT_VTAR_C_COLDVSNA_OFFER_2</vt:lpstr>
      <vt:lpstr>pIns_PT_VTAR_C_COLDVSNA_OFFER_3</vt:lpstr>
      <vt:lpstr>pIns_PT_VTAR_C_COLDVSNA_OFFER_4</vt:lpstr>
      <vt:lpstr>pIns_PT_VTAR_C_COLDVSNA_OFFER_5</vt:lpstr>
      <vt:lpstr>pIns_PT_VTAR_C_HOTVSNA</vt:lpstr>
      <vt:lpstr>pIns_PT_VTAR_C_HOTVSNA_OFFER_1</vt:lpstr>
      <vt:lpstr>pIns_PT_VTAR_C_HOTVSNA_OFFER_2</vt:lpstr>
      <vt:lpstr>pIns_PT_VTAR_C_HOTVSNA_OFFER_3</vt:lpstr>
      <vt:lpstr>pIns_PT_VTAR_C_HOTVSNA_OFFER_4</vt:lpstr>
      <vt:lpstr>pIns_PT_VTAR_C_HOTVSNA_OFFER_5</vt:lpstr>
      <vt:lpstr>pIns_PT_VTAR_C_OFFER_1</vt:lpstr>
      <vt:lpstr>pIns_PT_VTAR_C_OFFER_2</vt:lpstr>
      <vt:lpstr>pIns_PT_VTAR_C_OFFER_3</vt:lpstr>
      <vt:lpstr>pIns_PT_VTAR_C_OFFER_4</vt:lpstr>
      <vt:lpstr>pIns_PT_VTAR_C_OFFER_5</vt:lpstr>
      <vt:lpstr>pIns_PT_VTAR_C_VOTV</vt:lpstr>
      <vt:lpstr>pIns_PT_VTAR_C_VOTV_OFFER_1</vt:lpstr>
      <vt:lpstr>pIns_PT_VTAR_C_VOTV_OFFER_2</vt:lpstr>
      <vt:lpstr>pIns_PT_VTAR_C_VOTV_OFFER_3</vt:lpstr>
      <vt:lpstr>pIns_PT_VTAR_C_VOTV_OFFER_4</vt:lpstr>
      <vt:lpstr>pIns_PT_VTAR_C_VOTV_OFFER_5</vt:lpstr>
      <vt:lpstr>pIns_PT_VTAR_D</vt:lpstr>
      <vt:lpstr>pIns_PT_VTAR_D_COLDVSNA</vt:lpstr>
      <vt:lpstr>pIns_PT_VTAR_D_COLDVSNA_OFFER_1</vt:lpstr>
      <vt:lpstr>pIns_PT_VTAR_D_COLDVSNA_OFFER_2</vt:lpstr>
      <vt:lpstr>pIns_PT_VTAR_D_COLDVSNA_OFFER_3</vt:lpstr>
      <vt:lpstr>pIns_PT_VTAR_D_COLDVSNA_OFFER_4</vt:lpstr>
      <vt:lpstr>pIns_PT_VTAR_D_COLDVSNA_OFFER_5</vt:lpstr>
      <vt:lpstr>pIns_PT_VTAR_D_OFFER_1</vt:lpstr>
      <vt:lpstr>pIns_PT_VTAR_D_OFFER_2</vt:lpstr>
      <vt:lpstr>pIns_PT_VTAR_D_OFFER_3</vt:lpstr>
      <vt:lpstr>pIns_PT_VTAR_D_OFFER_4</vt:lpstr>
      <vt:lpstr>pIns_PT_VTAR_D_OFFER_5</vt:lpstr>
      <vt:lpstr>pIns_PT_VTAR_E_COLDVSNA</vt:lpstr>
      <vt:lpstr>pIns_PT_VTAR_E_COLDVSNA_OFFER_1</vt:lpstr>
      <vt:lpstr>pIns_PT_VTAR_E_COLDVSNA_OFFER_2</vt:lpstr>
      <vt:lpstr>pIns_PT_VTAR_E_COLDVSNA_OFFER_3</vt:lpstr>
      <vt:lpstr>pIns_PT_VTAR_E_COLDVSNA_OFFER_4</vt:lpstr>
      <vt:lpstr>pIns_PT_VTAR_E_COLDVSNA_OFFER_5</vt:lpstr>
      <vt:lpstr>pIns_PT_VTAR_E1</vt:lpstr>
      <vt:lpstr>pIns_PT_VTAR_E1_OFFER_1</vt:lpstr>
      <vt:lpstr>pIns_PT_VTAR_E1_OFFER_2</vt:lpstr>
      <vt:lpstr>pIns_PT_VTAR_E1_OFFER_3</vt:lpstr>
      <vt:lpstr>pIns_PT_VTAR_E1_OFFER_4</vt:lpstr>
      <vt:lpstr>pIns_PT_VTAR_E1_OFFER_5</vt:lpstr>
      <vt:lpstr>pIns_PT_VTAR_E2</vt:lpstr>
      <vt:lpstr>pIns_PT_VTAR_E2_OFFER_1</vt:lpstr>
      <vt:lpstr>pIns_PT_VTAR_E2_OFFER_2</vt:lpstr>
      <vt:lpstr>pIns_PT_VTAR_E2_OFFER_3</vt:lpstr>
      <vt:lpstr>pIns_PT_VTAR_E2_OFFER_4</vt:lpstr>
      <vt:lpstr>pIns_PT_VTAR_E2_OFFER_5</vt:lpstr>
      <vt:lpstr>pIns_PT_VTAR_F</vt:lpstr>
      <vt:lpstr>pIns_PT_VTAR_F_OFFER_1</vt:lpstr>
      <vt:lpstr>pIns_PT_VTAR_F_OFFER_2</vt:lpstr>
      <vt:lpstr>pIns_PT_VTAR_F_OFFER_3</vt:lpstr>
      <vt:lpstr>pIns_PT_VTAR_F_OFFER_4</vt:lpstr>
      <vt:lpstr>pIns_PT_VTAR_F_OFFER_5</vt:lpstr>
      <vt:lpstr>pIns_PT_VTAR_G</vt:lpstr>
      <vt:lpstr>pIns_PT_VTAR_G_OFFER_1</vt:lpstr>
      <vt:lpstr>pIns_PT_VTAR_G_OFFER_2</vt:lpstr>
      <vt:lpstr>pIns_PT_VTAR_G_OFFER_3</vt:lpstr>
      <vt:lpstr>pIns_PT_VTAR_G_OFFER_4</vt:lpstr>
      <vt:lpstr>pIns_PT_VTAR_G_OFFER_5</vt:lpstr>
      <vt:lpstr>pIns_PT_VTAR_H</vt:lpstr>
      <vt:lpstr>pIns_PT_VTAR_H_OFFER_1</vt:lpstr>
      <vt:lpstr>pIns_PT_VTAR_H_OFFER_2</vt:lpstr>
      <vt:lpstr>pIns_PT_VTAR_H_OFFER_3</vt:lpstr>
      <vt:lpstr>pIns_PT_VTAR_H_OFFER_4</vt:lpstr>
      <vt:lpstr>pIns_PT_VTAR_H_OFFER_5</vt:lpstr>
      <vt:lpstr>pIns_PT_VTAR_I</vt:lpstr>
      <vt:lpstr>pIns_PT_VTAR_I_1</vt:lpstr>
      <vt:lpstr>pIns_Q_LIMIT_1</vt:lpstr>
      <vt:lpstr>pIns_Q_LIMIT_2</vt:lpstr>
      <vt:lpstr>pIns_Q_LIMIT_3</vt:lpstr>
      <vt:lpstr>pIns_Q_LIMIT_4</vt:lpstr>
      <vt:lpstr>pIns_Q_LIMIT_DIFFERENTIATION</vt:lpstr>
      <vt:lpstr>pIns_Q_PH_DIFFERENTIATION</vt:lpstr>
      <vt:lpstr>pIns_Q_TP_1</vt:lpstr>
      <vt:lpstr>pIns_Q_TP_DIFFERENTIATION</vt:lpstr>
      <vt:lpstr>pIns_R_B_Purch_1</vt:lpstr>
      <vt:lpstr>pIns_ROIV_CASE_case</vt:lpstr>
      <vt:lpstr>pIns_ROIV_CASE_PUC_case</vt:lpstr>
      <vt:lpstr>pIns_ROIV_INFO_phone</vt:lpstr>
      <vt:lpstr>pIns_ROIV_ORG_org</vt:lpstr>
      <vt:lpstr>pIns_ROIV_OTV_org</vt:lpstr>
      <vt:lpstr>pIns_ver_COLDVSNA_TARIFF_A_COLDVSNA</vt:lpstr>
      <vt:lpstr>pIns_ver_COLDVSNA_TARIFF_B_COLDVSNA</vt:lpstr>
      <vt:lpstr>pIns_ver_COLDVSNA_TARIFF_C_COLDVSNA</vt:lpstr>
      <vt:lpstr>pIns_ver_COLDVSNA_TARIFF_D_COLDVSNA</vt:lpstr>
      <vt:lpstr>pIns_ver_COLDVSNA_TARIFF_E_COLDVSNA</vt:lpstr>
      <vt:lpstr>pIns_ver_HEAT_TARIFF_A</vt:lpstr>
      <vt:lpstr>pIns_ver_HEAT_TARIFF_B</vt:lpstr>
      <vt:lpstr>pIns_ver_HEAT_TARIFF_C</vt:lpstr>
      <vt:lpstr>pIns_ver_HEAT_TARIFF_D</vt:lpstr>
      <vt:lpstr>pIns_ver_HEAT_TARIFF_E1</vt:lpstr>
      <vt:lpstr>pIns_ver_HEAT_TARIFF_E2</vt:lpstr>
      <vt:lpstr>pIns_ver_HEAT_TARIFF_F</vt:lpstr>
      <vt:lpstr>pIns_ver_HEAT_TARIFF_G</vt:lpstr>
      <vt:lpstr>pIns_ver_HEAT_TARIFF_H</vt:lpstr>
      <vt:lpstr>pIns_ver_HEAT_TARIFF_I</vt:lpstr>
      <vt:lpstr>pIns_ver_HEAT_TARIFF_I_1</vt:lpstr>
      <vt:lpstr>pIns_ver_HOTVSNA_TARIFF_A_HOTVSNA</vt:lpstr>
      <vt:lpstr>pIns_ver_HOTVSNA_TARIFF_B_HOTVSNA</vt:lpstr>
      <vt:lpstr>pIns_ver_HOTVSNA_TARIFF_C_HOTVSNA</vt:lpstr>
      <vt:lpstr>pIns_ver_VOTV_TARIFF_A_VOTV</vt:lpstr>
      <vt:lpstr>pIns_ver_VOTV_TARIFF_B_VOTV</vt:lpstr>
      <vt:lpstr>pIns_ver_VOTV_TARIFF_C_VOTV</vt:lpstr>
      <vt:lpstr>pNote_LIMIT</vt:lpstr>
      <vt:lpstr>pNote_Q_PH</vt:lpstr>
      <vt:lpstr>pNum_Q_LIMIT</vt:lpstr>
      <vt:lpstr>PROCEDURE_TC_NAME_FORM</vt:lpstr>
      <vt:lpstr>PT_ADD_HL_CS_COLUMN_MARKER</vt:lpstr>
      <vt:lpstr>PT_ADD_HL_IST_TE_COLUMN_MARKER</vt:lpstr>
      <vt:lpstr>PT_ADD_HL_NTAR_COLUMN_MARKER</vt:lpstr>
      <vt:lpstr>PT_ADD_HL_TER_COLUMN_MARKER</vt:lpstr>
      <vt:lpstr>PT_ADD_HL_VTAR_COLUMN_MARKER</vt:lpstr>
      <vt:lpstr>pt_cs_1</vt:lpstr>
      <vt:lpstr>pt_cs_10</vt:lpstr>
      <vt:lpstr>pt_cs_11</vt:lpstr>
      <vt:lpstr>pt_cs_12</vt:lpstr>
      <vt:lpstr>pt_cs_13</vt:lpstr>
      <vt:lpstr>pt_cs_14</vt:lpstr>
      <vt:lpstr>pt_cs_15</vt:lpstr>
      <vt:lpstr>pt_cs_16</vt:lpstr>
      <vt:lpstr>pt_cs_17</vt:lpstr>
      <vt:lpstr>pt_cs_18</vt:lpstr>
      <vt:lpstr>pt_cs_19</vt:lpstr>
      <vt:lpstr>pt_cs_2</vt:lpstr>
      <vt:lpstr>pt_cs_20</vt:lpstr>
      <vt:lpstr>pt_cs_21</vt:lpstr>
      <vt:lpstr>pt_cs_21_1</vt:lpstr>
      <vt:lpstr>pt_cs_3</vt:lpstr>
      <vt:lpstr>pt_cs_30</vt:lpstr>
      <vt:lpstr>pt_cs_31</vt:lpstr>
      <vt:lpstr>pt_cs_32</vt:lpstr>
      <vt:lpstr>pt_cs_33</vt:lpstr>
      <vt:lpstr>pt_cs_34</vt:lpstr>
      <vt:lpstr>pt_cs_35</vt:lpstr>
      <vt:lpstr>pt_cs_36</vt:lpstr>
      <vt:lpstr>pt_cs_4</vt:lpstr>
      <vt:lpstr>pt_cs_5</vt:lpstr>
      <vt:lpstr>pt_cs_6</vt:lpstr>
      <vt:lpstr>pt_cs_7</vt:lpstr>
      <vt:lpstr>pt_cs_8</vt:lpstr>
      <vt:lpstr>pt_cs_9</vt:lpstr>
      <vt:lpstr>PT_DEL_HL_CS_COLUMN_MARKER</vt:lpstr>
      <vt:lpstr>PT_DEL_HL_IST_TE_COLUMN_MARKER</vt:lpstr>
      <vt:lpstr>PT_DEL_HL_NTAR_COLUMN_MARKER</vt:lpstr>
      <vt:lpstr>PT_DEL_HL_TER_COLUMN_MARKER</vt:lpstr>
      <vt:lpstr>PT_DEL_HL_VTAR_COLUMN_MARKER</vt:lpstr>
      <vt:lpstr>PT_DIAMETERS_2_LIST</vt:lpstr>
      <vt:lpstr>PT_DIAMETERS_LIST</vt:lpstr>
      <vt:lpstr>PT_DIFFERENTIATION_CS</vt:lpstr>
      <vt:lpstr>PT_DIFFERENTIATION_CS_ID</vt:lpstr>
      <vt:lpstr>PT_DIFFERENTIATION_IST_TE</vt:lpstr>
      <vt:lpstr>PT_DIFFERENTIATION_IST_TE_ID</vt:lpstr>
      <vt:lpstr>PT_DIFFERENTIATION_NTAR</vt:lpstr>
      <vt:lpstr>PT_DIFFERENTIATION_NTAR_ID</vt:lpstr>
      <vt:lpstr>PT_DIFFERENTIATION_NUM_CS</vt:lpstr>
      <vt:lpstr>PT_DIFFERENTIATION_NUM_IST_TE</vt:lpstr>
      <vt:lpstr>PT_DIFFERENTIATION_NUM_NTAR</vt:lpstr>
      <vt:lpstr>PT_DIFFERENTIATION_NUM_TER</vt:lpstr>
      <vt:lpstr>PT_DIFFERENTIATION_TER</vt:lpstr>
      <vt:lpstr>PT_DIFFERENTIATION_TER_ID</vt:lpstr>
      <vt:lpstr>PT_DIFFERENTIATION_VDET</vt:lpstr>
      <vt:lpstr>PT_DIFFERENTIATION_VTAR</vt:lpstr>
      <vt:lpstr>PT_DIFFERENTIATION_VTAR_ID</vt:lpstr>
      <vt:lpstr>PT_FLAG_CS_COLUMN_MARKER</vt:lpstr>
      <vt:lpstr>PT_FLAG_IST_TE_COLUMN_MARKER</vt:lpstr>
      <vt:lpstr>PT_FLAG_TER_COLUMN_MARKER</vt:lpstr>
      <vt:lpstr>PT_FLAG_VTAR_COLUMN_MARKER</vt:lpstr>
      <vt:lpstr>PT_GROUP_CONSUMER_LIST</vt:lpstr>
      <vt:lpstr>PT_HEAT_PRICE_INDICATORS_LEVEL</vt:lpstr>
      <vt:lpstr>pt_ist_te_1</vt:lpstr>
      <vt:lpstr>pt_ist_te_2</vt:lpstr>
      <vt:lpstr>pt_ist_te_20</vt:lpstr>
      <vt:lpstr>pt_ist_te_21</vt:lpstr>
      <vt:lpstr>pt_ist_te_21_1</vt:lpstr>
      <vt:lpstr>pt_ist_te_3</vt:lpstr>
      <vt:lpstr>pt_ist_te_30</vt:lpstr>
      <vt:lpstr>pt_ist_te_31</vt:lpstr>
      <vt:lpstr>pt_ist_te_32</vt:lpstr>
      <vt:lpstr>pt_ist_te_33</vt:lpstr>
      <vt:lpstr>pt_ist_te_34</vt:lpstr>
      <vt:lpstr>pt_ist_te_35</vt:lpstr>
      <vt:lpstr>pt_ist_te_36</vt:lpstr>
      <vt:lpstr>pt_ist_te_4</vt:lpstr>
      <vt:lpstr>pt_ist_te_5</vt:lpstr>
      <vt:lpstr>pt_ist_te_6</vt:lpstr>
      <vt:lpstr>pt_ist_te_7</vt:lpstr>
      <vt:lpstr>pt_ist_te_8</vt:lpstr>
      <vt:lpstr>PT_LOAD_LIST</vt:lpstr>
      <vt:lpstr>PT_NETS_LIST</vt:lpstr>
      <vt:lpstr>pt_ntar_1</vt:lpstr>
      <vt:lpstr>pt_ntar_10</vt:lpstr>
      <vt:lpstr>pt_ntar_11</vt:lpstr>
      <vt:lpstr>pt_ntar_12</vt:lpstr>
      <vt:lpstr>pt_ntar_13</vt:lpstr>
      <vt:lpstr>pt_ntar_14</vt:lpstr>
      <vt:lpstr>pt_ntar_15</vt:lpstr>
      <vt:lpstr>pt_ntar_16</vt:lpstr>
      <vt:lpstr>pt_ntar_17</vt:lpstr>
      <vt:lpstr>pt_ntar_18</vt:lpstr>
      <vt:lpstr>pt_ntar_19</vt:lpstr>
      <vt:lpstr>pt_ntar_2</vt:lpstr>
      <vt:lpstr>pt_ntar_20</vt:lpstr>
      <vt:lpstr>pt_ntar_21</vt:lpstr>
      <vt:lpstr>pt_ntar_21_1</vt:lpstr>
      <vt:lpstr>pt_ntar_3</vt:lpstr>
      <vt:lpstr>pt_ntar_30</vt:lpstr>
      <vt:lpstr>pt_ntar_301</vt:lpstr>
      <vt:lpstr>pt_ntar_3011</vt:lpstr>
      <vt:lpstr>pt_ntar_30111</vt:lpstr>
      <vt:lpstr>pt_ntar_301111</vt:lpstr>
      <vt:lpstr>pt_ntar_3011111</vt:lpstr>
      <vt:lpstr>pt_ntar_30111111</vt:lpstr>
      <vt:lpstr>pt_ntar_4</vt:lpstr>
      <vt:lpstr>pt_ntar_5</vt:lpstr>
      <vt:lpstr>pt_ntar_6</vt:lpstr>
      <vt:lpstr>pt_ntar_7</vt:lpstr>
      <vt:lpstr>pt_ntar_8</vt:lpstr>
      <vt:lpstr>pt_ntar_9</vt:lpstr>
      <vt:lpstr>PT_P_FORM_COLDVSNA_4_NAME_FORM</vt:lpstr>
      <vt:lpstr>PT_P_FORM_COLDVSNA_5_NAME_FORM</vt:lpstr>
      <vt:lpstr>PT_P_FORM_HEAT_21_NAME_FORM</vt:lpstr>
      <vt:lpstr>PT_P_FORM_HEAT_22_NAME_FORM</vt:lpstr>
      <vt:lpstr>PT_P_FORM_HEAT_4_NAME_FORM</vt:lpstr>
      <vt:lpstr>PT_P_FORM_HEAT_5_NAME_FORM</vt:lpstr>
      <vt:lpstr>PT_P_FORM_HEAT_6_NAME_FORM</vt:lpstr>
      <vt:lpstr>PT_P_FORM_HEAT_7_NAME_FORM</vt:lpstr>
      <vt:lpstr>PT_P_FORM_HOTVSNA_4_NAME_FORM</vt:lpstr>
      <vt:lpstr>PT_P_FORM_HOTVSNA_5_NAME_FORM</vt:lpstr>
      <vt:lpstr>PT_P_FORM_VOTV_4_NAME_FORM</vt:lpstr>
      <vt:lpstr>PT_P_FORM_VOTV_5_NAME_FORM</vt:lpstr>
      <vt:lpstr>PT_R_FORM_COLDVSNA_16_NAME_FORM</vt:lpstr>
      <vt:lpstr>PT_R_FORM_COLDVSNA_17_NAME_FORM</vt:lpstr>
      <vt:lpstr>PT_R_FORM_HEAT_21_NAME_FORM</vt:lpstr>
      <vt:lpstr>PT_R_FORM_HEAT_22_NAME_FORM</vt:lpstr>
      <vt:lpstr>PT_R_FORM_HEAT_23_NAME_FORM</vt:lpstr>
      <vt:lpstr>PT_R_FORM_HEAT_24_NAME_FORM</vt:lpstr>
      <vt:lpstr>PT_R_FORM_HOTVSNA_16_NAME_FORM</vt:lpstr>
      <vt:lpstr>PT_R_FORM_HOTVSNA_17_NAME_FORM</vt:lpstr>
      <vt:lpstr>PT_R_FORM_VOTV_16_NAME_FORM</vt:lpstr>
      <vt:lpstr>PT_R_FORM_VOTV_17_NAME_FORM</vt:lpstr>
      <vt:lpstr>PT_SCHEME_LIST</vt:lpstr>
      <vt:lpstr>pt_ter_1</vt:lpstr>
      <vt:lpstr>pt_ter_10</vt:lpstr>
      <vt:lpstr>pt_ter_11</vt:lpstr>
      <vt:lpstr>pt_ter_12</vt:lpstr>
      <vt:lpstr>pt_ter_13</vt:lpstr>
      <vt:lpstr>pt_ter_14</vt:lpstr>
      <vt:lpstr>pt_ter_15</vt:lpstr>
      <vt:lpstr>pt_ter_16</vt:lpstr>
      <vt:lpstr>pt_ter_17</vt:lpstr>
      <vt:lpstr>pt_ter_18</vt:lpstr>
      <vt:lpstr>pt_ter_19</vt:lpstr>
      <vt:lpstr>pt_ter_2</vt:lpstr>
      <vt:lpstr>pt_ter_20</vt:lpstr>
      <vt:lpstr>pt_ter_21</vt:lpstr>
      <vt:lpstr>pt_ter_21_1</vt:lpstr>
      <vt:lpstr>pt_ter_3</vt:lpstr>
      <vt:lpstr>pt_ter_30</vt:lpstr>
      <vt:lpstr>pt_ter_31</vt:lpstr>
      <vt:lpstr>pt_ter_32</vt:lpstr>
      <vt:lpstr>pt_ter_33</vt:lpstr>
      <vt:lpstr>pt_ter_34</vt:lpstr>
      <vt:lpstr>pt_ter_35</vt:lpstr>
      <vt:lpstr>pt_ter_36</vt:lpstr>
      <vt:lpstr>pt_ter_4</vt:lpstr>
      <vt:lpstr>pt_ter_5</vt:lpstr>
      <vt:lpstr>pt_ter_6</vt:lpstr>
      <vt:lpstr>pt_ter_7</vt:lpstr>
      <vt:lpstr>pt_ter_8</vt:lpstr>
      <vt:lpstr>pt_ter_9</vt:lpstr>
      <vt:lpstr>PT_TN_LIST</vt:lpstr>
      <vt:lpstr>PT_VDET_COLUMN_MARKER</vt:lpstr>
      <vt:lpstr>PURCH_NAME_FORM</vt:lpstr>
      <vt:lpstr>Q_LIMIT_CheckC</vt:lpstr>
      <vt:lpstr>Q_LIMIT_diff_1</vt:lpstr>
      <vt:lpstr>Q_LIMIT_p3</vt:lpstr>
      <vt:lpstr>Q_LIMIT_p4</vt:lpstr>
      <vt:lpstr>Q_PH_diff_1</vt:lpstr>
      <vt:lpstr>Q_TP_COUNT_REFUSAL</vt:lpstr>
      <vt:lpstr>Q_TP_diff_1</vt:lpstr>
      <vt:lpstr>QRE_METHOD_LIST</vt:lpstr>
      <vt:lpstr>QUARTER</vt:lpstr>
      <vt:lpstr>R_OFFER_ADD_PERIOD_HL_COLUMN_MARKER</vt:lpstr>
      <vt:lpstr>R_OFFER_CHANGE_HL_COLUMN_MARKER</vt:lpstr>
      <vt:lpstr>R_OFFER_DEL_HL_COLUMN_MARKER</vt:lpstr>
      <vt:lpstr>R_OFFER_FLAG_HL_COLUMN_MARKER</vt:lpstr>
      <vt:lpstr>REESTR_IP_RANGE</vt:lpstr>
      <vt:lpstr>REESTR_LINK_RANGE</vt:lpstr>
      <vt:lpstr>REESTR_VT_RANGE</vt:lpstr>
      <vt:lpstr>REGION</vt:lpstr>
      <vt:lpstr>region_name</vt:lpstr>
      <vt:lpstr>RegulatoryPeriod</vt:lpstr>
      <vt:lpstr>ReportPeriod</vt:lpstr>
      <vt:lpstr>ROIV_CASE_ADD_HL_CASE_COLUMN_MARKER</vt:lpstr>
      <vt:lpstr>ROIV_CASE_DATE</vt:lpstr>
      <vt:lpstr>ROIV_CASE_DEL_HL_CASE_COLUMN_MARKER</vt:lpstr>
      <vt:lpstr>ROIV_CASE_NUM_CASE_COLUMN_MARKER</vt:lpstr>
      <vt:lpstr>ROIV_CASE_PROTOKOL</vt:lpstr>
      <vt:lpstr>ROIV_CASE_PROTOKOL_ET</vt:lpstr>
      <vt:lpstr>ROIV_CASE_PUC_ADD_HL_CASE_COLUMN_MARKER</vt:lpstr>
      <vt:lpstr>ROIV_CASE_PUC_DATE</vt:lpstr>
      <vt:lpstr>ROIV_CASE_PUC_DEL_HL_CASE_COLUMN_MARKER</vt:lpstr>
      <vt:lpstr>ROIV_CASE_PUC_NUM_CASE_COLUMN_MARKER</vt:lpstr>
      <vt:lpstr>ROIV_CASE_PUC_PROTOKOL</vt:lpstr>
      <vt:lpstr>ROIV_CASE_PUC_PROTOKOL_ET</vt:lpstr>
      <vt:lpstr>ROIV_CASE_PUC_RESH</vt:lpstr>
      <vt:lpstr>ROIV_CASE_PUC_RESH_ET</vt:lpstr>
      <vt:lpstr>ROIV_CASE_RESH</vt:lpstr>
      <vt:lpstr>ROIV_CASE_RESH_ET</vt:lpstr>
      <vt:lpstr>ROIV_INFO_COMMENT</vt:lpstr>
      <vt:lpstr>ROIV_INFO_COMMENT_HEAT</vt:lpstr>
      <vt:lpstr>ROIV_INFO_COMMENT_NO_HEAT</vt:lpstr>
      <vt:lpstr>ROIV_INFO_DEL_HL_PHONE_COLUMN_MARKER</vt:lpstr>
      <vt:lpstr>ROIV_INFO_DOKLAD</vt:lpstr>
      <vt:lpstr>ROIV_INFO_LIST</vt:lpstr>
      <vt:lpstr>ROIV_INFO_LIST_HEAT</vt:lpstr>
      <vt:lpstr>ROIV_INFO_LIST_NO_HEAT</vt:lpstr>
      <vt:lpstr>ROIV_INFO_NAME</vt:lpstr>
      <vt:lpstr>ROIV_INFO_NUM_PHONE_COLUMN_MARKER</vt:lpstr>
      <vt:lpstr>ROIV_ORG_DEL_HL_ORG_COLUMN_MARKER</vt:lpstr>
      <vt:lpstr>ROIV_ORG_INN_COLUMN_MARKER</vt:lpstr>
      <vt:lpstr>ROIV_ORG_KPP_COLUMN_MARKER</vt:lpstr>
      <vt:lpstr>ROIV_ORG_NAME_ORG_COLUMN_MARKER</vt:lpstr>
      <vt:lpstr>ROIV_ORG_NUM_ORG_COLUMN_MARKER</vt:lpstr>
      <vt:lpstr>ROIV_ORG_TECH_ORG_ID</vt:lpstr>
      <vt:lpstr>ROIV_ORG_TECH_ORG_ID_COLUMN_MARKER</vt:lpstr>
      <vt:lpstr>ROIV_OTV_ADD_HL_DL_COLUMN_MARKER</vt:lpstr>
      <vt:lpstr>ROIV_OTV_DEL_HL_DL_COLUMN_MARKER</vt:lpstr>
      <vt:lpstr>ROIV_OTV_DEL_HL_ORG_COLUMN_MARKER</vt:lpstr>
      <vt:lpstr>ROIV_OTV_INN_COLUMN_MARKER</vt:lpstr>
      <vt:lpstr>ROIV_OTV_NAME_ORG_COLUMN_MARKER</vt:lpstr>
      <vt:lpstr>ROIV_OTV_NUM_DL_COLUMN_MARKER</vt:lpstr>
      <vt:lpstr>ROIV_OTV_NUM_ORG_COLUMN_MARKER</vt:lpstr>
      <vt:lpstr>ROIV_OTV_TECH_ORG_ID_COLUMN_MARKER</vt:lpstr>
      <vt:lpstr>RST_ORG_ID</vt:lpstr>
      <vt:lpstr>SKI_number</vt:lpstr>
      <vt:lpstr>StartDateList</vt:lpstr>
      <vt:lpstr>tblEnd_1_B_FHD</vt:lpstr>
      <vt:lpstr>tblEnd_1_B_FHD_TKO</vt:lpstr>
      <vt:lpstr>tblEnd_1_B_FHD_TKO_TRANS</vt:lpstr>
      <vt:lpstr>tblEnd_1_B_KNE</vt:lpstr>
      <vt:lpstr>tblEnd_1_B_OTEP</vt:lpstr>
      <vt:lpstr>tblEnd_1_B_STANDARTS</vt:lpstr>
      <vt:lpstr>tblEnd_1_CHANGE_INFO</vt:lpstr>
      <vt:lpstr>tblEnd_1_DIFFERENTIATION</vt:lpstr>
      <vt:lpstr>tblEnd_1_DIFFERENTIATION_TARIFF</vt:lpstr>
      <vt:lpstr>tblEnd_1_DIFFERENTIATION_TKO</vt:lpstr>
      <vt:lpstr>tblEnd_1_ED</vt:lpstr>
      <vt:lpstr>tblEnd_1_IP_DETAILED</vt:lpstr>
      <vt:lpstr>tblEnd_1_IP_FIN_PLAN</vt:lpstr>
      <vt:lpstr>tblEnd_1_IP_MAIN</vt:lpstr>
      <vt:lpstr>tblEnd_1_IP_QRE</vt:lpstr>
      <vt:lpstr>tblEnd_1_OFFER</vt:lpstr>
      <vt:lpstr>tblEnd_1_ORG_INFO</vt:lpstr>
      <vt:lpstr>tblEnd_1_ORG_TERRITORY</vt:lpstr>
      <vt:lpstr>tblEnd_1_ORG_VD</vt:lpstr>
      <vt:lpstr>tblEnd_1_ORG_VD_TKO</vt:lpstr>
      <vt:lpstr>tblEnd_1_P_PROCEDURE_TC</vt:lpstr>
      <vt:lpstr>tblEnd_1_P_T_TERMS</vt:lpstr>
      <vt:lpstr>tblEnd_1_Q_LIMIT</vt:lpstr>
      <vt:lpstr>tblEnd_1_Q_PH</vt:lpstr>
      <vt:lpstr>tblEnd_1_Q_TP</vt:lpstr>
      <vt:lpstr>tblEnd_1_R_B_Purch</vt:lpstr>
      <vt:lpstr>tblEnd_1_R_Offer</vt:lpstr>
      <vt:lpstr>tblEnd_1_ROIV_CASE</vt:lpstr>
      <vt:lpstr>tblEnd_1_ROIV_CASE_PUC</vt:lpstr>
      <vt:lpstr>tblEnd_1_ROIV_INFO</vt:lpstr>
      <vt:lpstr>tblEnd_1_ROIV_ORG</vt:lpstr>
      <vt:lpstr>tblEnd_1_ROIV_OTV</vt:lpstr>
      <vt:lpstr>tblEnd_1_TARIFF_A</vt:lpstr>
      <vt:lpstr>tblEnd_1_TARIFF_A_COLDVSNA</vt:lpstr>
      <vt:lpstr>tblEnd_1_TARIFF_A_HOTVSNA</vt:lpstr>
      <vt:lpstr>tblEnd_1_TARIFF_A_VOTV</vt:lpstr>
      <vt:lpstr>tblEnd_1_TARIFF_B</vt:lpstr>
      <vt:lpstr>tblEnd_1_TARIFF_B_COLDVSNA</vt:lpstr>
      <vt:lpstr>tblEnd_1_TARIFF_B_HOTVSNA</vt:lpstr>
      <vt:lpstr>tblEnd_1_TARIFF_B_VOTV</vt:lpstr>
      <vt:lpstr>tblEnd_1_TARIFF_C</vt:lpstr>
      <vt:lpstr>tblEnd_1_TARIFF_C_COLDVSNA</vt:lpstr>
      <vt:lpstr>tblEnd_1_TARIFF_C_HOTVSNA</vt:lpstr>
      <vt:lpstr>tblEnd_1_TARIFF_C_VOTV</vt:lpstr>
      <vt:lpstr>tblEnd_1_TARIFF_D</vt:lpstr>
      <vt:lpstr>tblEnd_1_TARIFF_D_COLDVSNA</vt:lpstr>
      <vt:lpstr>tblEnd_1_TARIFF_E_COLDVSNA</vt:lpstr>
      <vt:lpstr>tblEnd_1_TARIFF_E1</vt:lpstr>
      <vt:lpstr>tblEnd_1_TARIFF_E2</vt:lpstr>
      <vt:lpstr>tblEnd_1_TARIFF_F</vt:lpstr>
      <vt:lpstr>tblEnd_1_TARIFF_G</vt:lpstr>
      <vt:lpstr>tblEnd_1_TARIFF_H</vt:lpstr>
      <vt:lpstr>tblEnd_1_TARIFF_I</vt:lpstr>
      <vt:lpstr>tblEnd_1_TARIFF_I_1</vt:lpstr>
      <vt:lpstr>tblEnd_1_TERRITORY</vt:lpstr>
      <vt:lpstr>tblStart_1_B_FHD</vt:lpstr>
      <vt:lpstr>tblStart_1_B_FHD_TKO</vt:lpstr>
      <vt:lpstr>tblStart_1_B_FHD_TKO_TRANS</vt:lpstr>
      <vt:lpstr>tblStart_1_B_KNE</vt:lpstr>
      <vt:lpstr>tblStart_1_B_OTEP</vt:lpstr>
      <vt:lpstr>tblStart_1_B_STANDARTS</vt:lpstr>
      <vt:lpstr>tblStart_1_CHANGE_INFO</vt:lpstr>
      <vt:lpstr>tblStart_1_DIFFERENTIATION</vt:lpstr>
      <vt:lpstr>tblStart_1_DIFFERENTIATION_TARIFF</vt:lpstr>
      <vt:lpstr>tblStart_1_DIFFERENTIATION_TKO</vt:lpstr>
      <vt:lpstr>tblStart_1_ED</vt:lpstr>
      <vt:lpstr>tblStart_1_IP_DETAILED</vt:lpstr>
      <vt:lpstr>tblStart_1_IP_FIN_PLAN</vt:lpstr>
      <vt:lpstr>tblStart_1_IP_MAIN</vt:lpstr>
      <vt:lpstr>tblStart_1_IP_QRE</vt:lpstr>
      <vt:lpstr>tblStart_1_OFFER</vt:lpstr>
      <vt:lpstr>tblStart_1_ORG_INFO</vt:lpstr>
      <vt:lpstr>tblStart_1_ORG_TERRITORY</vt:lpstr>
      <vt:lpstr>tblStart_1_ORG_VD</vt:lpstr>
      <vt:lpstr>tblStart_1_ORG_VD_TKO</vt:lpstr>
      <vt:lpstr>tblStart_1_P_PROCEDURE_TC</vt:lpstr>
      <vt:lpstr>tblStart_1_P_T_TERMS</vt:lpstr>
      <vt:lpstr>tblStart_1_Q_LIMIT</vt:lpstr>
      <vt:lpstr>tblStart_1_Q_PH</vt:lpstr>
      <vt:lpstr>tblStart_1_Q_TP</vt:lpstr>
      <vt:lpstr>tblStart_1_R_B_Purch</vt:lpstr>
      <vt:lpstr>tblStart_1_R_Offer</vt:lpstr>
      <vt:lpstr>tblStart_1_ROIV_CASE</vt:lpstr>
      <vt:lpstr>tblStart_1_ROIV_CASE_PUC</vt:lpstr>
      <vt:lpstr>tblStart_1_ROIV_INFO</vt:lpstr>
      <vt:lpstr>tblStart_1_ROIV_ORG</vt:lpstr>
      <vt:lpstr>tblStart_1_ROIV_OTV</vt:lpstr>
      <vt:lpstr>tblStart_1_TARIFF_A</vt:lpstr>
      <vt:lpstr>tblStart_1_TARIFF_A_COLDVSNA</vt:lpstr>
      <vt:lpstr>tblStart_1_TARIFF_A_HOTVSNA</vt:lpstr>
      <vt:lpstr>tblStart_1_TARIFF_A_VOTV</vt:lpstr>
      <vt:lpstr>tblStart_1_TARIFF_B</vt:lpstr>
      <vt:lpstr>tblStart_1_TARIFF_B_COLDVSNA</vt:lpstr>
      <vt:lpstr>tblStart_1_TARIFF_B_HOTVSNA</vt:lpstr>
      <vt:lpstr>tblStart_1_TARIFF_B_VOTV</vt:lpstr>
      <vt:lpstr>tblStart_1_TARIFF_C</vt:lpstr>
      <vt:lpstr>tblStart_1_TARIFF_C_COLDVSNA</vt:lpstr>
      <vt:lpstr>tblStart_1_TARIFF_C_HOTVSNA</vt:lpstr>
      <vt:lpstr>tblStart_1_TARIFF_C_VOTV</vt:lpstr>
      <vt:lpstr>tblStart_1_TARIFF_D</vt:lpstr>
      <vt:lpstr>tblStart_1_TARIFF_D_COLDVSNA</vt:lpstr>
      <vt:lpstr>tblStart_1_TARIFF_E_COLDVSNA</vt:lpstr>
      <vt:lpstr>tblStart_1_TARIFF_E1</vt:lpstr>
      <vt:lpstr>tblStart_1_TARIFF_E2</vt:lpstr>
      <vt:lpstr>tblStart_1_TARIFF_F</vt:lpstr>
      <vt:lpstr>tblStart_1_TARIFF_G</vt:lpstr>
      <vt:lpstr>tblStart_1_TARIFF_H</vt:lpstr>
      <vt:lpstr>tblStart_1_TARIFF_I</vt:lpstr>
      <vt:lpstr>tblStart_1_TARIFF_I_1</vt:lpstr>
      <vt:lpstr>tblStart_1_TERRITORY</vt:lpstr>
      <vt:lpstr>TECH_ORG_ID</vt:lpstr>
      <vt:lpstr>TEMPLATE_DATA_POINT</vt:lpstr>
      <vt:lpstr>TEMPLATE_DATA_POINT_FHD</vt:lpstr>
      <vt:lpstr>TEMPLATE_GROUP</vt:lpstr>
      <vt:lpstr>TEMPLATE_NAME_FORM_LIST</vt:lpstr>
      <vt:lpstr>TEMPLATE_NOTE_POINT</vt:lpstr>
      <vt:lpstr>TEMPLATE_NOTE_POINT_FHD</vt:lpstr>
      <vt:lpstr>TEMPLATE_NUMBER_FORM_LIST</vt:lpstr>
      <vt:lpstr>TEMPLATE_NUMBER_POINT_FHD</vt:lpstr>
      <vt:lpstr>TEMPLATE_ORG_DATA_POINT</vt:lpstr>
      <vt:lpstr>TEMPLATE_SPHERE</vt:lpstr>
      <vt:lpstr>TEMPLATE_SPHERE_LIST</vt:lpstr>
      <vt:lpstr>TEMPLATE_SPHERE_LIST_FOR_NOTE</vt:lpstr>
      <vt:lpstr>TEMPLATE_SPHERE_LIST_FOR_NPA</vt:lpstr>
      <vt:lpstr>TEMPLATE_SPHERE_RUS</vt:lpstr>
      <vt:lpstr>TEMPLATE_SPHERE_RUS_2</vt:lpstr>
      <vt:lpstr>TemplateState</vt:lpstr>
      <vt:lpstr>ter_1</vt:lpstr>
      <vt:lpstr>TER_ID</vt:lpstr>
      <vt:lpstr>TERMS_LINK</vt:lpstr>
      <vt:lpstr>TERMS_NAME_FORM</vt:lpstr>
      <vt:lpstr>TERMS_NUM_CONTRACT_COLUMN_MARKER</vt:lpstr>
      <vt:lpstr>TERMS_P_1</vt:lpstr>
      <vt:lpstr>TERMS_TKO_TRANS_DATA</vt:lpstr>
      <vt:lpstr>TERRITORY_CheckC</vt:lpstr>
      <vt:lpstr>TERRITORY_ID</vt:lpstr>
      <vt:lpstr>TERRITORY_LIST_ID</vt:lpstr>
      <vt:lpstr>TERRITORY_MO_LIST</vt:lpstr>
      <vt:lpstr>TERRITORY_MR_LIST</vt:lpstr>
      <vt:lpstr>TERRITORY_NAME_COL</vt:lpstr>
      <vt:lpstr>TERRITORY_POINT_NUMBER_1</vt:lpstr>
      <vt:lpstr>TITLE_BUHG_FLAG</vt:lpstr>
      <vt:lpstr>TITLE_CONNECTION_FLAG</vt:lpstr>
      <vt:lpstr>TITLE_DATA_TYPE</vt:lpstr>
      <vt:lpstr>TITLE_DATE_BUHG</vt:lpstr>
      <vt:lpstr>TITLE_DATE_CHANGE</vt:lpstr>
      <vt:lpstr>TITLE_DATE_CHANGE_PERIOD</vt:lpstr>
      <vt:lpstr>TITLE_DATE_FIL</vt:lpstr>
      <vt:lpstr>TITLE_DATE_PARKING</vt:lpstr>
      <vt:lpstr>TITLE_DATE_PR</vt:lpstr>
      <vt:lpstr>TITLE_DATE_PR_CHANGE</vt:lpstr>
      <vt:lpstr>TITLE_DIFFERENTIATION_TYPE</vt:lpstr>
      <vt:lpstr>TITLE_FIL_YEAR</vt:lpstr>
      <vt:lpstr>TITLE_FLAG_DIFF_SELLER</vt:lpstr>
      <vt:lpstr>TITLE_FLAG_INTERNET</vt:lpstr>
      <vt:lpstr>TITLE_FLAG_IP</vt:lpstr>
      <vt:lpstr>TITLE_FLAG_IP_DETAILED</vt:lpstr>
      <vt:lpstr>TITLE_FLAG_NO_DIFF_COMPONENT</vt:lpstr>
      <vt:lpstr>TITLE_FLAG_NOT_REG_PRICE</vt:lpstr>
      <vt:lpstr>TITLE_FLAG_OTV_ROIV</vt:lpstr>
      <vt:lpstr>TITLE_FLAG_REG_PRICE_IP</vt:lpstr>
      <vt:lpstr>TITLE_FLAG_TKO_TRANS</vt:lpstr>
      <vt:lpstr>TITLE_FLAG_TOP80_ACTIVITY</vt:lpstr>
      <vt:lpstr>TITLE_HEADER_PR_CHANGE</vt:lpstr>
      <vt:lpstr>TITLE_IP_DETAILED_METHOD_LIST</vt:lpstr>
      <vt:lpstr>TITLE_IST_PUB</vt:lpstr>
      <vt:lpstr>TITLE_IST_PUB_CHANGE</vt:lpstr>
      <vt:lpstr>TITLE_NAME_OR_PR</vt:lpstr>
      <vt:lpstr>TITLE_NAME_OR_PR_CHANGE</vt:lpstr>
      <vt:lpstr>TITLE_NUMBER_PR</vt:lpstr>
      <vt:lpstr>TITLE_NUMBER_PR_CHANGE</vt:lpstr>
      <vt:lpstr>TITLE_PERIOD_END</vt:lpstr>
      <vt:lpstr>TITLE_PERIOD_START</vt:lpstr>
      <vt:lpstr>TITLE_PRICE_INDICATORS_GRAPH</vt:lpstr>
      <vt:lpstr>TITLE_PRICE_INDICATORS_LEVEL</vt:lpstr>
      <vt:lpstr>TITLE_STRUCTURE_INFO_ROIV</vt:lpstr>
      <vt:lpstr>TITLE_TYPE_ORG</vt:lpstr>
      <vt:lpstr>TKO_PT_VED_ID</vt:lpstr>
      <vt:lpstr>TKO_PT_VED_NAME</vt:lpstr>
      <vt:lpstr>TKO_PT_VED_NAME_LIST</vt:lpstr>
      <vt:lpstr>TP_NAME_FORM</vt:lpstr>
      <vt:lpstr>TP_NUMBER_FORM</vt:lpstr>
      <vt:lpstr>TP_P_A</vt:lpstr>
      <vt:lpstr>TP_P_B</vt:lpstr>
      <vt:lpstr>TP_P_G</vt:lpstr>
      <vt:lpstr>TP_P_NOTE_A</vt:lpstr>
      <vt:lpstr>TP_P_NOTE_B</vt:lpstr>
      <vt:lpstr>TP_P_NOTE_G</vt:lpstr>
      <vt:lpstr>TP_P_NOTE_G_1</vt:lpstr>
      <vt:lpstr>TP_P_NOTE_V</vt:lpstr>
      <vt:lpstr>TP_P_NOTE_V_1</vt:lpstr>
      <vt:lpstr>TP_P_V</vt:lpstr>
      <vt:lpstr>TP_P_V_1</vt:lpstr>
      <vt:lpstr>TYPE_TKO_LIST</vt:lpstr>
      <vt:lpstr>UNIT_CONNECT_LIST</vt:lpstr>
      <vt:lpstr>VD_ID_LIST</vt:lpstr>
      <vt:lpstr>VD_LIST</vt:lpstr>
      <vt:lpstr>VD_NAME_LIST</vt:lpstr>
      <vt:lpstr>VDET_END_DATE</vt:lpstr>
      <vt:lpstr>VDET_START_DATE</vt:lpstr>
      <vt:lpstr>version</vt:lpstr>
      <vt:lpstr>VOTV_FIN_SRC_LIST</vt:lpstr>
      <vt:lpstr>VOTV_FIN_SRC_VLD_LIST</vt:lpstr>
      <vt:lpstr>VOTV_IP_EVENT_CI_STAGE_LIST</vt:lpstr>
      <vt:lpstr>VOTV_IP_EVENT_GROUP_LIST</vt:lpstr>
      <vt:lpstr>VOTV_IP_EVENT_SUBGROUP_1_LIST</vt:lpstr>
      <vt:lpstr>VOTV_IP_EVENT_SUBGROUP_3_LIST</vt:lpstr>
      <vt:lpstr>VOTV_IP_EVENT_SUBGROUP_5_LIST</vt:lpstr>
      <vt:lpstr>VOTV_IP_EVENT_TYPE_LIST</vt:lpstr>
      <vt:lpstr>VOTV_PT_VED_ID</vt:lpstr>
      <vt:lpstr>VOTV_PT_VED_NAME</vt:lpstr>
      <vt:lpstr>VOTV_PT_VED_NAME_LIST</vt:lpstr>
      <vt:lpstr>VOTV_TARIFF_A_VOTV_ADD_HL_COLUMN_MARKER</vt:lpstr>
      <vt:lpstr>VOTV_TARIFF_A_VOTV_DEL_HL_DATA_DIFF_COLUMN_MARKER</vt:lpstr>
      <vt:lpstr>VOTV_TARIFF_A_VOTV_DEL_HL_FLAG_DIFF_COLUMN_MARKER</vt:lpstr>
      <vt:lpstr>VOTV_TARIFF_A_VOTV_DEL_HL_GC_COLUMN_MARKER</vt:lpstr>
      <vt:lpstr>VOTV_TARIFF_A_VOTV_DELETE_PERIOD_ROW_MARKER</vt:lpstr>
      <vt:lpstr>VOTV_TARIFF_A_VOTV_FLAG_BLOCK_COLUMN_MARKER</vt:lpstr>
      <vt:lpstr>VOTV_TARIFF_A_VOTV_FLAG_BLOCK_ROW_MARKER</vt:lpstr>
      <vt:lpstr>VOTV_TARIFF_A_VOTV_NUM_CS_COLUMN_MARKER</vt:lpstr>
      <vt:lpstr>VOTV_TARIFF_A_VOTV_NUM_DATA_DIFF_COLUMN_MARKER</vt:lpstr>
      <vt:lpstr>VOTV_TARIFF_A_VOTV_NUM_FLAG_DIFF_COLUMN_MARKER</vt:lpstr>
      <vt:lpstr>VOTV_TARIFF_A_VOTV_NUM_GC_COLUMN_MARKER</vt:lpstr>
      <vt:lpstr>VOTV_TARIFF_A_VOTV_NUM_NTAR_COLUMN_MARKER</vt:lpstr>
      <vt:lpstr>VOTV_TARIFF_A_VOTV_NUM_TER_COLUMN_MARKER</vt:lpstr>
      <vt:lpstr>VOTV_TARIFF_B_VOTV_ADD_HL_COLUMN_MARKER</vt:lpstr>
      <vt:lpstr>VOTV_TARIFF_B_VOTV_DEL_HL_DATA_DIFF_COLUMN_MARKER</vt:lpstr>
      <vt:lpstr>VOTV_TARIFF_B_VOTV_DEL_HL_FLAG_DIFF_COLUMN_MARKER</vt:lpstr>
      <vt:lpstr>VOTV_TARIFF_B_VOTV_DEL_HL_GC_COLUMN_MARKER</vt:lpstr>
      <vt:lpstr>VOTV_TARIFF_B_VOTV_DELETE_PERIOD_ROW_MARKER</vt:lpstr>
      <vt:lpstr>VOTV_TARIFF_B_VOTV_FLAG_BLOCK_COLUMN_MARKER</vt:lpstr>
      <vt:lpstr>VOTV_TARIFF_B_VOTV_FLAG_BLOCK_ROW_MARKER</vt:lpstr>
      <vt:lpstr>VOTV_TARIFF_B_VOTV_NUM_CS_COLUMN_MARKER</vt:lpstr>
      <vt:lpstr>VOTV_TARIFF_B_VOTV_NUM_DATA_DIFF_COLUMN_MARKER</vt:lpstr>
      <vt:lpstr>VOTV_TARIFF_B_VOTV_NUM_FLAG_DIFF_COLUMN_MARKER</vt:lpstr>
      <vt:lpstr>VOTV_TARIFF_B_VOTV_NUM_GC_COLUMN_MARKER</vt:lpstr>
      <vt:lpstr>VOTV_TARIFF_B_VOTV_NUM_NTAR_COLUMN_MARKER</vt:lpstr>
      <vt:lpstr>VOTV_TARIFF_B_VOTV_NUM_TER_COLUMN_MARKER</vt:lpstr>
      <vt:lpstr>VOTV_TARIFF_C_VOTV_ADD_HL_COLUMN_MARKER</vt:lpstr>
      <vt:lpstr>VOTV_TARIFF_C_VOTV_ADD_HL_DIAMETERS_COLUMN_MARKER</vt:lpstr>
      <vt:lpstr>VOTV_TARIFF_C_VOTV_ADD_HL_LEN_COLUMN_MARKER</vt:lpstr>
      <vt:lpstr>VOTV_TARIFF_C_VOTV_ADD_HL_LOAD_COLUMN_MARKER</vt:lpstr>
      <vt:lpstr>VOTV_TARIFF_C_VOTV_ADD_HL_NETS_COLUMN_MARKER</vt:lpstr>
      <vt:lpstr>VOTV_TARIFF_C_VOTV_DEL_HL_DATA_DIFF_COLUMN_MARKER</vt:lpstr>
      <vt:lpstr>VOTV_TARIFF_C_VOTV_DEL_HL_DIAMETERS_COLUMN_MARKER</vt:lpstr>
      <vt:lpstr>VOTV_TARIFF_C_VOTV_DEL_HL_FLAG_DIFF_COLUMN_MARKER</vt:lpstr>
      <vt:lpstr>VOTV_TARIFF_C_VOTV_DEL_HL_GC_COLUMN_MARKER</vt:lpstr>
      <vt:lpstr>VOTV_TARIFF_C_VOTV_DEL_HL_LEN_COLUMN_MARKER</vt:lpstr>
      <vt:lpstr>VOTV_TARIFF_C_VOTV_DEL_HL_LOAD_COLUMN_MARKER</vt:lpstr>
      <vt:lpstr>VOTV_TARIFF_C_VOTV_DEL_HL_NETS_COLUMN_MARKER</vt:lpstr>
      <vt:lpstr>VOTV_TARIFF_C_VOTV_DELETE_PERIOD_ROW_MARKER</vt:lpstr>
      <vt:lpstr>VOTV_TARIFF_C_VOTV_FLAG_BLOCK_COLUMN_MARKER</vt:lpstr>
      <vt:lpstr>VOTV_TARIFF_C_VOTV_FLAG_BLOCK_ROW_MARKER</vt:lpstr>
      <vt:lpstr>VOTV_TARIFF_C_VOTV_NUM_CS_COLUMN_MARKER</vt:lpstr>
      <vt:lpstr>VOTV_TARIFF_C_VOTV_NUM_DATA_DIFF_COLUMN_MARKER</vt:lpstr>
      <vt:lpstr>VOTV_TARIFF_C_VOTV_NUM_DIAMETERS_COLUMN_MARKER</vt:lpstr>
      <vt:lpstr>VOTV_TARIFF_C_VOTV_NUM_FLAG_DIFF_COLUMN_MARKER</vt:lpstr>
      <vt:lpstr>VOTV_TARIFF_C_VOTV_NUM_GC_COLUMN_MARKER</vt:lpstr>
      <vt:lpstr>VOTV_TARIFF_C_VOTV_NUM_LEN_COLUMN_MARKER</vt:lpstr>
      <vt:lpstr>VOTV_TARIFF_C_VOTV_NUM_LOAD_COLUMN_MARKER</vt:lpstr>
      <vt:lpstr>VOTV_TARIFF_C_VOTV_NUM_NETS_COLUMN_MARKER</vt:lpstr>
      <vt:lpstr>VOTV_TARIFF_C_VOTV_NUM_NTAR_COLUMN_MARKER</vt:lpstr>
      <vt:lpstr>VOTV_TARIFF_C_VOTV_NUM_TER_COLUMN_MARKER</vt:lpstr>
      <vt:lpstr>VSNA_FIN_SRC_LIST</vt:lpstr>
      <vt:lpstr>VSNA_FIN_SRC_VLD_LIST</vt:lpstr>
      <vt:lpstr>VSNA_IP_EVENT_CI_STAGE_LIST</vt:lpstr>
      <vt:lpstr>VSNA_IP_EVENT_GROUP_LIST</vt:lpstr>
      <vt:lpstr>VSNA_IP_EVENT_SUBGROUP_1_LIST</vt:lpstr>
      <vt:lpstr>VSNA_IP_EVENT_SUBGROUP_3_LIST</vt:lpstr>
      <vt:lpstr>VSNA_IP_EVENT_SUBGROUP_5_LIST</vt:lpstr>
      <vt:lpstr>VSNA_IP_EVENT_TYPE_LIST</vt:lpstr>
      <vt:lpstr>VTAR_ID</vt:lpstr>
      <vt:lpstr>Y_N_DIFFERENTIATION_AREA</vt:lpstr>
      <vt:lpstr>Y_N_DIFFERENTIATION_SYSTEM</vt:lpstr>
      <vt:lpstr>YEAR_IP_LIST</vt:lpstr>
      <vt:lpstr>year_list</vt:lpstr>
      <vt:lpstr>year_list1</vt:lpstr>
    </vt:vector>
  </TitlesOfParts>
  <Company>ФАС России</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Информация, подлежащая раскрытию организациями сферы теплоснабжения (цены и тарифы)</dc:title>
  <dc:subject>Информация, подлежащая раскрытию организациями сферы теплоснабжения (цены и тарифы)</dc:subject>
  <dc:creator>--</dc:creator>
  <dc:description/>
  <cp:lastModifiedBy>PC124</cp:lastModifiedBy>
  <cp:lastPrinted>2013-08-29T08:11:20Z</cp:lastPrinted>
  <dcterms:created xsi:type="dcterms:W3CDTF">2004-05-21T07:18:45Z</dcterms:created>
  <dcterms:modified xsi:type="dcterms:W3CDTF">2025-09-26T04:42:26Z</dcterms:modified>
</cp:coreProperties>
</file>